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_QSE\Daten\Publikationsdatenbanken\JCR\Journalindex\"/>
    </mc:Choice>
  </mc:AlternateContent>
  <bookViews>
    <workbookView xWindow="480" yWindow="75" windowWidth="15180" windowHeight="11640"/>
  </bookViews>
  <sheets>
    <sheet name="Tabelle1" sheetId="1" r:id="rId1"/>
    <sheet name="Tabelle2" sheetId="2" r:id="rId2"/>
    <sheet name="Tabelle3" sheetId="3" r:id="rId3"/>
  </sheets>
  <definedNames>
    <definedName name="_FilterDatabase" localSheetId="0" hidden="1">Tabelle1!$A$4:$F$6378</definedName>
    <definedName name="Journalindex" localSheetId="0">Tabelle1!$A$2:$F$6378</definedName>
    <definedName name="Print_Area" localSheetId="0">Tabelle1!$B:$F</definedName>
    <definedName name="Print_Titles" localSheetId="0">Tabelle1!$1:$4</definedName>
  </definedName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B1" i="1"/>
</calcChain>
</file>

<file path=xl/connections.xml><?xml version="1.0" encoding="utf-8"?>
<connections xmlns="http://schemas.openxmlformats.org/spreadsheetml/2006/main">
  <connection id="1" name="Journalindexk" type="6" refreshedVersion="6" background="1" saveData="1">
    <textPr prompt="0" sourceFile="O:\Journalindexk.txt" thousands="'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<sst xmlns="http://schemas.openxmlformats.org/spreadsheetml/2006/main" count="12753" uniqueCount="12313">
  <si>
    <t>Purinergic Signalling</t>
  </si>
  <si>
    <t>Pituitary</t>
  </si>
  <si>
    <t>QUAL HEALTH RES</t>
  </si>
  <si>
    <t>QUALITATIVE HEALTH RESEARCH</t>
  </si>
  <si>
    <t>QUAL INQ</t>
  </si>
  <si>
    <t>QUALITATIVE INQUIRY</t>
  </si>
  <si>
    <t>QUEUEING SYST</t>
  </si>
  <si>
    <t>QUEUEING SYSTEMS</t>
  </si>
  <si>
    <t>RACE CLASS</t>
  </si>
  <si>
    <t>RACE &amp; CLASS</t>
  </si>
  <si>
    <t>RADICAL PHILOS</t>
  </si>
  <si>
    <t>RADICAL PHILOSOPHY</t>
  </si>
  <si>
    <t>RADIOL MED</t>
  </si>
  <si>
    <t>Radiologia Medica</t>
  </si>
  <si>
    <t>READ RES QUART</t>
  </si>
  <si>
    <t>READING RESEARCH QUARTERLY</t>
  </si>
  <si>
    <t>REC NAT PROD</t>
  </si>
  <si>
    <t>Records of Natural Products</t>
  </si>
  <si>
    <t>RECENT PAT ANTI-CANC</t>
  </si>
  <si>
    <t>Recent Patents on Anti-Cancer Drug Discovery</t>
  </si>
  <si>
    <t>RECHT PSYCHIATR</t>
  </si>
  <si>
    <t>Recht &amp; Psychiatrie</t>
  </si>
  <si>
    <t>REF USER SERV Q</t>
  </si>
  <si>
    <t>REFERENCE &amp; USER SERVICES QUARTERLY</t>
  </si>
  <si>
    <t>REGEN MED</t>
  </si>
  <si>
    <t>Regenerative Medicine</t>
  </si>
  <si>
    <t>REHABIL COUNS BULL</t>
  </si>
  <si>
    <t>REHABILITATION COUNSELING BULLETIN</t>
  </si>
  <si>
    <t>REHABIL NURS</t>
  </si>
  <si>
    <t>Rehabilitation Nursing</t>
  </si>
  <si>
    <t>REHABIL PSYCHOL</t>
  </si>
  <si>
    <t>REHABILITATION PSYCHOLOGY</t>
  </si>
  <si>
    <t>REPROD BIOL</t>
  </si>
  <si>
    <t>Reproductive Biology</t>
  </si>
  <si>
    <t>REPROD BIOL ENDOCRIN</t>
  </si>
  <si>
    <t>Reproductive Biology and Endocrinology</t>
  </si>
  <si>
    <t>REPROD SCI</t>
  </si>
  <si>
    <t>Reproductive Sciences</t>
  </si>
  <si>
    <t>RES DEV DISABIL</t>
  </si>
  <si>
    <t>RESEARCH IN DEVELOPMENTAL DISABILITIES</t>
  </si>
  <si>
    <t>RES EVALUAT</t>
  </si>
  <si>
    <t>RESEARCH EVALUATION</t>
  </si>
  <si>
    <t>RES LANG SOC INTERAC</t>
  </si>
  <si>
    <t>RESEARCH ON LANGUAGE AND SOCIAL INTERACTION</t>
  </si>
  <si>
    <t>RESP CARE</t>
  </si>
  <si>
    <t>Respiratory Care</t>
  </si>
  <si>
    <t>RETROVIROLOGY</t>
  </si>
  <si>
    <t>Retrovirology</t>
  </si>
  <si>
    <t>REV ASSOC MED BRAS</t>
  </si>
  <si>
    <t>Revista da Associacao Medica Brasileira</t>
  </si>
  <si>
    <t>REV BRAS FARMACOGN</t>
  </si>
  <si>
    <t>Revista Brasileira de Farmacognosia-Brazilian Journal of Pharmacognosy</t>
  </si>
  <si>
    <t>REV BRAS PARASITOL V</t>
  </si>
  <si>
    <t>REVISTA BRASILEIRA DE PARASITOLOGIA VETERINARIA</t>
  </si>
  <si>
    <t>REV BRAS PSIQUIATR</t>
  </si>
  <si>
    <t>REVISTA BRASILEIRA DE PSIQUIATRIA</t>
  </si>
  <si>
    <t>REV CARDIOVASC MED</t>
  </si>
  <si>
    <t>Reviews in Cardiovascular Medicine</t>
  </si>
  <si>
    <t>REV CHIL INFECTOL</t>
  </si>
  <si>
    <t>Revista Chilena de Infectologia</t>
  </si>
  <si>
    <t>REV ESC ENFERM USP</t>
  </si>
  <si>
    <t>Revista da Escola de Enfermagem da USP</t>
  </si>
  <si>
    <t>REV ESP QUIM</t>
  </si>
  <si>
    <t>Revista Espanola de Quimioterapia</t>
  </si>
  <si>
    <t>REV GEN PSYCHOL</t>
  </si>
  <si>
    <t>REVIEW OF GENERAL PSYCHOLOGY</t>
  </si>
  <si>
    <t>REV LAT AM PSICOL</t>
  </si>
  <si>
    <t>REVISTA LATINOAMERICANA DE PSICOLOGIA</t>
  </si>
  <si>
    <t>REV LAT-AM ENFERM</t>
  </si>
  <si>
    <t>Revista Latino-Americana de Enfermagem</t>
  </si>
  <si>
    <t>REV MEX PSICOL</t>
  </si>
  <si>
    <t>REVISTA MEXICANA DE PSICOLOGIA</t>
  </si>
  <si>
    <t>REV NEFROL DIAL TRAS</t>
  </si>
  <si>
    <t>Revista de Nefrologia Dialisis y Trasplante</t>
  </si>
  <si>
    <t>REV NUTR</t>
  </si>
  <si>
    <t>Revista de Nutricao-Brazilian Journal of Nutrition</t>
  </si>
  <si>
    <t>REV PANAM SALUD PUBL</t>
  </si>
  <si>
    <t>REVISTA PANAMERICANA DE SALUD PUBLICA-PAN AMERICAN JOURNAL OF PUBLIC HEALTH</t>
  </si>
  <si>
    <t>REV SAUDE PUBL</t>
  </si>
  <si>
    <t>REVISTA DE SAUDE PUBLICA</t>
  </si>
  <si>
    <t>REV SOC BRAS MED TRO</t>
  </si>
  <si>
    <t>Revista da Sociedade Brasileira de Medicina Tropical</t>
  </si>
  <si>
    <t>RIV PSICHIATR</t>
  </si>
  <si>
    <t>Rivista di Psichiatria</t>
  </si>
  <si>
    <t>RNA BIOL</t>
  </si>
  <si>
    <t>RNA Biology</t>
  </si>
  <si>
    <t>ROBOT CIM-INT MANUF</t>
  </si>
  <si>
    <t>ROBOTICS AND COMPUTER-INTEGRATED MANUFACTURING</t>
  </si>
  <si>
    <t>ROM J LEG MED</t>
  </si>
  <si>
    <t>Romanian Journal of Legal Medicine</t>
  </si>
  <si>
    <t>RUSS CHEM REV+</t>
  </si>
  <si>
    <t>RUSSIAN CHEMICAL REVIEWS</t>
  </si>
  <si>
    <t>S AFR J HIV MED</t>
  </si>
  <si>
    <t>SOUTHERN AFRICAN JOURNAL OF HIV MEDICINE</t>
  </si>
  <si>
    <t>S AFR J PSYCHOL</t>
  </si>
  <si>
    <t>SOUTH AFRICAN JOURNAL OF PSYCHOLOGY</t>
  </si>
  <si>
    <t>SAJP-S AFR J PSYCHI</t>
  </si>
  <si>
    <t>South African Journal of Psychiatry</t>
  </si>
  <si>
    <t>SALUD MENT</t>
  </si>
  <si>
    <t>SALUD MENTAL</t>
  </si>
  <si>
    <t>SALUD PUBLICA MEXICO</t>
  </si>
  <si>
    <t>SALUD PUBLICA DE MEXICO</t>
  </si>
  <si>
    <t>SAO PAULO MED J</t>
  </si>
  <si>
    <t>Sao Paulo Medical Journal</t>
  </si>
  <si>
    <t>SCAND J CARING SCI</t>
  </si>
  <si>
    <t>SCANDINAVIAN JOURNAL OF CARING SCIENCES</t>
  </si>
  <si>
    <t>SCAND J PSYCHOL</t>
  </si>
  <si>
    <t>SCANDINAVIAN JOURNAL OF PSYCHOLOGY</t>
  </si>
  <si>
    <t>SCAND J SURG</t>
  </si>
  <si>
    <t>Scandinavian Journal of Surgery</t>
  </si>
  <si>
    <t>SCHOOL PSYCHOL INT</t>
  </si>
  <si>
    <t>SCHOOL PSYCHOLOGY INTERNATIONAL</t>
  </si>
  <si>
    <t>SCHOOL PSYCHOL QUART</t>
  </si>
  <si>
    <t>SCHOOL PSYCHOLOGY QUARTERLY</t>
  </si>
  <si>
    <t>SCHOOL PSYCHOL REV</t>
  </si>
  <si>
    <t>SCHOOL PSYCHOLOGY REVIEW</t>
  </si>
  <si>
    <t>SCI SOC</t>
  </si>
  <si>
    <t>SCIENCE &amp; SOCIETY</t>
  </si>
  <si>
    <t>SCI SOC SANTE</t>
  </si>
  <si>
    <t>SCIENCES SOCIALES ET SANTE</t>
  </si>
  <si>
    <t>SCIENTOMETRICS</t>
  </si>
  <si>
    <t>SEMIN FETAL NEONAT M</t>
  </si>
  <si>
    <t>Seminars in Fetal &amp; Neonatal Medicine</t>
  </si>
  <si>
    <t>SEMIN IMMUNOPATHOL</t>
  </si>
  <si>
    <t>Seminars in Immunopathology</t>
  </si>
  <si>
    <t>SEMIN VASC SURG</t>
  </si>
  <si>
    <t>Seminars in Vascular Surgery</t>
  </si>
  <si>
    <t>SERIALS REV</t>
  </si>
  <si>
    <t>SERIALS REVIEW</t>
  </si>
  <si>
    <t>SEX ABUSE-J RES TR</t>
  </si>
  <si>
    <t>SEXUAL ABUSE-A JOURNAL OF RESEARCH AND TREATMENT</t>
  </si>
  <si>
    <t>SEX DEV</t>
  </si>
  <si>
    <t>Sexual Development</t>
  </si>
  <si>
    <t>SEX DISABIL</t>
  </si>
  <si>
    <t>SEXUALITY AND DISABILITY</t>
  </si>
  <si>
    <t>SEX HEALTH</t>
  </si>
  <si>
    <t>Sexual Health</t>
  </si>
  <si>
    <t>SEX ROLES</t>
  </si>
  <si>
    <t>SIGNA VITAE</t>
  </si>
  <si>
    <t>Signa Vitae</t>
  </si>
  <si>
    <t>SIGNS</t>
  </si>
  <si>
    <t>SIMUL MODEL PRACT TH</t>
  </si>
  <si>
    <t>SIMULATION MODELLING PRACTICE AND THEORY</t>
  </si>
  <si>
    <t>SIMUL-T SOC MOD SIM</t>
  </si>
  <si>
    <t>SLEEP BIOL RHYTHMS</t>
  </si>
  <si>
    <t>Sleep and Biological Rhythms</t>
  </si>
  <si>
    <t>SLEEP BREATH</t>
  </si>
  <si>
    <t>Sleep and Breathing</t>
  </si>
  <si>
    <t>SMALL GR RES</t>
  </si>
  <si>
    <t>SMALL GROUP RESEARCH</t>
  </si>
  <si>
    <t>SOC BEHAV PERSONAL</t>
  </si>
  <si>
    <t>SOCIAL BEHAVIOR AND PERSONALITY</t>
  </si>
  <si>
    <t>SOC COGN AFFECT NEUR</t>
  </si>
  <si>
    <t>Social Cognitive and Affective Neuroscience</t>
  </si>
  <si>
    <t>SOC COGNITION</t>
  </si>
  <si>
    <t>SOCIAL COGNITION</t>
  </si>
  <si>
    <t>SOC DEV</t>
  </si>
  <si>
    <t>SOCIAL DEVELOPMENT</t>
  </si>
  <si>
    <t>SOC INDIC RES</t>
  </si>
  <si>
    <t>SOCIAL INDICATORS RESEARCH</t>
  </si>
  <si>
    <t>SOC LEGAL STUD</t>
  </si>
  <si>
    <t>SOCIAL &amp; LEGAL STUDIES</t>
  </si>
  <si>
    <t>SOC NEUROSCI-UK</t>
  </si>
  <si>
    <t>Social Neuroscience</t>
  </si>
  <si>
    <t>SOC PHILOS POLICY</t>
  </si>
  <si>
    <t>SOCIAL PHILOSOPHY &amp; POLICY</t>
  </si>
  <si>
    <t>SOC POLIT</t>
  </si>
  <si>
    <t>SOCIAL POLITICS</t>
  </si>
  <si>
    <t>SOC PSYCH PSYCH EPID</t>
  </si>
  <si>
    <t>SOCIAL PSYCHIATRY AND PSYCHIATRIC EPIDEMIOLOGY</t>
  </si>
  <si>
    <t>SOC PSYCHOL QUART</t>
  </si>
  <si>
    <t>SOCIAL PSYCHOLOGY QUARTERLY</t>
  </si>
  <si>
    <t>SOC SCI COMPUT REV</t>
  </si>
  <si>
    <t>SOCIAL SCIENCE COMPUTER REVIEW</t>
  </si>
  <si>
    <t>SOC SCI INFORM</t>
  </si>
  <si>
    <t>SOCIAL SCIENCE INFORMATION SUR LES SCIENCES SOCIALES</t>
  </si>
  <si>
    <t>SOC SCI J</t>
  </si>
  <si>
    <t>SOC SCI MED</t>
  </si>
  <si>
    <t>SOCIAL SCIENCE &amp; MEDICINE</t>
  </si>
  <si>
    <t>SOC SCI QUART</t>
  </si>
  <si>
    <t>SOCIAL SCIENCE QUARTERLY</t>
  </si>
  <si>
    <t>SOC SCI RES</t>
  </si>
  <si>
    <t>SOCIAL SCIENCE RESEARCH</t>
  </si>
  <si>
    <t>SOCIETY</t>
  </si>
  <si>
    <t>SOCIOL HEALTH ILL</t>
  </si>
  <si>
    <t>SOCIOLOGY OF HEALTH &amp; ILLNESS</t>
  </si>
  <si>
    <t>SOFT COMPUT</t>
  </si>
  <si>
    <t>SOFT COMPUTING</t>
  </si>
  <si>
    <t>SORT-STAT OPER RES T</t>
  </si>
  <si>
    <t>SORT-Statistics and Operations Research Transactions</t>
  </si>
  <si>
    <t>SPACE POLICY</t>
  </si>
  <si>
    <t>SPAN J PSYCHOL</t>
  </si>
  <si>
    <t>Spanish Journal of Psychology</t>
  </si>
  <si>
    <t>SPORT BIOMECH</t>
  </si>
  <si>
    <t>Sports Biomechanics</t>
  </si>
  <si>
    <t>STAT APPL GENET MOL</t>
  </si>
  <si>
    <t>Statistical Applications in Genetics and Molecular Biology</t>
  </si>
  <si>
    <t>STAT METHOD APPL-GER</t>
  </si>
  <si>
    <t>Statistical Methods and Applications</t>
  </si>
  <si>
    <t>STATA J</t>
  </si>
  <si>
    <t>Stata Journal</t>
  </si>
  <si>
    <t>STOCH DYNAM</t>
  </si>
  <si>
    <t>Stochastics and Dynamics</t>
  </si>
  <si>
    <t>STRUCT MULTIDISCIP O</t>
  </si>
  <si>
    <t>STRUCTURAL AND MULTIDISCIPLINARY OPTIMIZATION</t>
  </si>
  <si>
    <t>STUD FAMILY PLANN</t>
  </si>
  <si>
    <t>STUDIES IN FAMILY PLANNING</t>
  </si>
  <si>
    <t>STUD PSYCHOL</t>
  </si>
  <si>
    <t>STUDIA PSYCHOLOGICA</t>
  </si>
  <si>
    <t>STUD U BABES-BOL CHE</t>
  </si>
  <si>
    <t>Studia Universitatis Babes-Bolyai Chemia</t>
  </si>
  <si>
    <t>SUCHTTHERAPIE</t>
  </si>
  <si>
    <t>SURG INNOV</t>
  </si>
  <si>
    <t>Surgical Innovation</t>
  </si>
  <si>
    <t>SURG OBES RELAT DIS</t>
  </si>
  <si>
    <t>Surgery for Obesity and Related Diseases</t>
  </si>
  <si>
    <t>SURG ONCOL CLIN N AM</t>
  </si>
  <si>
    <t>Surgical Oncology Clinics of North America</t>
  </si>
  <si>
    <t>SURV METHODOL</t>
  </si>
  <si>
    <t>Survey Methodology</t>
  </si>
  <si>
    <t>SWISS J PSYCHOL</t>
  </si>
  <si>
    <t>SWISS JOURNAL OF PSYCHOLOGY</t>
  </si>
  <si>
    <t>Systems Biology in Reproductive Medicine</t>
  </si>
  <si>
    <t>SYST RES BEHAV SCI</t>
  </si>
  <si>
    <t>SYSTEMS RESEARCH AND BEHAVIORAL SCIENCE</t>
  </si>
  <si>
    <t>TEACH PSYCHOL</t>
  </si>
  <si>
    <t>TEACHING OF PSYCHOLOGY</t>
  </si>
  <si>
    <t>TELECOMMUN POLICY</t>
  </si>
  <si>
    <t>TELECOMMUNICATIONS POLICY</t>
  </si>
  <si>
    <t>THEOR CULT SOC</t>
  </si>
  <si>
    <t>THEORY CULTURE &amp; SOCIETY</t>
  </si>
  <si>
    <t>THEOR MED BIOETH</t>
  </si>
  <si>
    <t>THEORETICAL MEDICINE AND BIOETHICS</t>
  </si>
  <si>
    <t>THEOR PSYCHOL</t>
  </si>
  <si>
    <t>THEORY &amp; PSYCHOLOGY</t>
  </si>
  <si>
    <t>THINK REASONING</t>
  </si>
  <si>
    <t>THINKING &amp; REASONING</t>
  </si>
  <si>
    <t>TIDSSKR SAMFUNNSFOR</t>
  </si>
  <si>
    <t>TIDSSKRIFT FOR SAMFUNNSFORSKNING</t>
  </si>
  <si>
    <t>TIME SOC</t>
  </si>
  <si>
    <t>TIME &amp; SOCIETY</t>
  </si>
  <si>
    <t>TISSUE ENG REGEN MED</t>
  </si>
  <si>
    <t>Tissue Engineering and Regenerative Medicine</t>
  </si>
  <si>
    <t>TOP GERIATR REHABIL</t>
  </si>
  <si>
    <t>TOPICS IN GERIATRIC REHABILITATION</t>
  </si>
  <si>
    <t>TOP LANG DISORD</t>
  </si>
  <si>
    <t>TOPICS IN LANGUAGE DISORDERS</t>
  </si>
  <si>
    <t>TOP STROKE REHABIL</t>
  </si>
  <si>
    <t>Topics in Stroke Rehabilitation</t>
  </si>
  <si>
    <t>TRANSBOUND EMERG DIS</t>
  </si>
  <si>
    <t>Transboundary and Emerging Diseases</t>
  </si>
  <si>
    <t>TRANSPL INFECT DIS</t>
  </si>
  <si>
    <t>Transplant Infectious Disease</t>
  </si>
  <si>
    <t>TRANSPORT RES F-TRAF</t>
  </si>
  <si>
    <t>TRANSPORTATION RESEARCH PART F-TRAFFIC PSYCHOLOGY AND BEHAVIOUR</t>
  </si>
  <si>
    <t>TREE GENET GENOMES</t>
  </si>
  <si>
    <t>Tree Genetics &amp; Genomes</t>
  </si>
  <si>
    <t>TROP BIOMED</t>
  </si>
  <si>
    <t>TROPICAL BIOMEDICINE</t>
  </si>
  <si>
    <t>TROP J PHARM RES</t>
  </si>
  <si>
    <t>TROPICAL JOURNAL OF PHARMACEUTICAL RESEARCH</t>
  </si>
  <si>
    <t>TURK J BIOCHEM</t>
  </si>
  <si>
    <t>Turkish Journal of Biochemistry-Turk Biyokimya Dergisi</t>
  </si>
  <si>
    <t>TURK J GASTROENTEROL</t>
  </si>
  <si>
    <t>Turkish Journal of Gastroenterology</t>
  </si>
  <si>
    <t>TURK J MED SCI</t>
  </si>
  <si>
    <t>Turkish Journal Of Medical Sciences</t>
  </si>
  <si>
    <t>TURK NEUROSURG</t>
  </si>
  <si>
    <t>Turkish Neurosurgery</t>
  </si>
  <si>
    <t>TURK PSIKIYATR DERG</t>
  </si>
  <si>
    <t>Turk Psikiyatri Dergisi</t>
  </si>
  <si>
    <t>TURK PSIKOL DERG</t>
  </si>
  <si>
    <t>TURK PSIKOLOJI DERGISI</t>
  </si>
  <si>
    <t>ULUS TRAVMA ACIL CER</t>
  </si>
  <si>
    <t>Ulusal Travma ve Acil Cerrahi Dergisi-Turkish Journal of Trauma &amp; Emergency Surgery</t>
  </si>
  <si>
    <t>VIOLENCE AGAINST WOM</t>
  </si>
  <si>
    <t>VIOLENCE AGAINST WOMEN</t>
  </si>
  <si>
    <t>VIROL J</t>
  </si>
  <si>
    <t>Virology Journal</t>
  </si>
  <si>
    <t>VIS COGN</t>
  </si>
  <si>
    <t>VISUAL COGNITION</t>
  </si>
  <si>
    <t>VOP PSIKHOL+</t>
  </si>
  <si>
    <t>VOPROSY PSIKHOLOGII</t>
  </si>
  <si>
    <t>Vascular</t>
  </si>
  <si>
    <t>WOMEN HEALTH</t>
  </si>
  <si>
    <t>WOMEN &amp; HEALTH</t>
  </si>
  <si>
    <t>WOMEN HEALTH ISS</t>
  </si>
  <si>
    <t>WOMENS HEALTH ISSUES</t>
  </si>
  <si>
    <t>WOMEN STUD INT FORUM</t>
  </si>
  <si>
    <t>WOMENS STUDIES INTERNATIONAL FORUM</t>
  </si>
  <si>
    <t>WOMEN THER</t>
  </si>
  <si>
    <t>WOMEN &amp; THERAPY</t>
  </si>
  <si>
    <t>WORK STRESS</t>
  </si>
  <si>
    <t>WORK AND STRESS</t>
  </si>
  <si>
    <t>WORLD J GASTROENTERO</t>
  </si>
  <si>
    <t>WORLD JOURNAL OF GASTROENTEROLOGY</t>
  </si>
  <si>
    <t>WORLD PSYCHIATRY</t>
  </si>
  <si>
    <t>World Psychiatry</t>
  </si>
  <si>
    <t>WORLDV EVID-BASED NU</t>
  </si>
  <si>
    <t>Worldviews on Evidence-Based Nursing</t>
  </si>
  <si>
    <t>YOUTH SOC</t>
  </si>
  <si>
    <t>YOUTH &amp; SOCIETY</t>
  </si>
  <si>
    <t>Z ARB ORGAN</t>
  </si>
  <si>
    <t>ZEITSCHRIFT FUR ARBEITS-UND ORGANISATIONSPSYCHOLOGIE</t>
  </si>
  <si>
    <t>Z BIBL BIBL</t>
  </si>
  <si>
    <t>ZEITSCHRIFT FUR BIBLIOTHEKSWESEN UND BIBLIOGRAPHIE</t>
  </si>
  <si>
    <t>Z ENTWICKL PADAGOGIS</t>
  </si>
  <si>
    <t>ZEITSCHRIFT FUR ENTWICKLUNGSPSYCHOLOGIE UND PADAGOGISCHE PSYCHOLOGIE</t>
  </si>
  <si>
    <t>Z EVAL</t>
  </si>
  <si>
    <t>Zeitschrift fur Evaluation</t>
  </si>
  <si>
    <t>Z KINDER JUG-PSYCH</t>
  </si>
  <si>
    <t>ZEITSCHRIFT FUR KINDER-UND JUGENDPSYCHIATRIE UND PSYCHOTHERAPIE</t>
  </si>
  <si>
    <t>Z KL PSYCH PSYCHOTH</t>
  </si>
  <si>
    <t>ZEITSCHRIFT FUR KLINISCHE PSYCHOLOGIE UND PSYCHOTHERAPIE</t>
  </si>
  <si>
    <t>Z MED PHYS</t>
  </si>
  <si>
    <t>Zeitschrift fur Medizinische Physik</t>
  </si>
  <si>
    <t>ZEITSCHRIFT FUR NATURFORSCHUNG SECTION C-A JOURNAL OF BIOSCIENCES</t>
  </si>
  <si>
    <t>Z ORTHOP UNFALLCHIR</t>
  </si>
  <si>
    <t>Zeitschrift fur Orthopadie und Unfallchirurgie</t>
  </si>
  <si>
    <t>Z PADAGOG PSYCHOL</t>
  </si>
  <si>
    <t>ZEITSCHRIFT FUR PADAGOGISCHE PSYCHOLOGIE</t>
  </si>
  <si>
    <t>Z PSYCHIATR PSYCH PS</t>
  </si>
  <si>
    <t>Zeitschrift fur Psychiatrie Psychologie und Psychotherapie</t>
  </si>
  <si>
    <t>Z PSYCHOL</t>
  </si>
  <si>
    <t>Zeitschrift fur Psychologie-Journal of Psychology</t>
  </si>
  <si>
    <t>ZOONOSES PUBLIC HLTH</t>
  </si>
  <si>
    <t>Zoonoses and Public Health</t>
  </si>
  <si>
    <t>JOURNAL OF FLUENCY DISORDERS</t>
  </si>
  <si>
    <t>J FORENSIC PSYCHI PS</t>
  </si>
  <si>
    <t>JOURNAL OF FORENSIC PSYCHIATRY &amp; PSYCHOLOGY</t>
  </si>
  <si>
    <t>J GAMBL STUD</t>
  </si>
  <si>
    <t>JOURNAL OF GAMBLING STUDIES</t>
  </si>
  <si>
    <t>J GASTROINTEST LIVER</t>
  </si>
  <si>
    <t>Journal of Gastrointestinal and Liver Diseases</t>
  </si>
  <si>
    <t>J GEN PSYCHOL</t>
  </si>
  <si>
    <t>JOURNAL OF GENERAL PSYCHOLOGY</t>
  </si>
  <si>
    <t>J GENDER STUD</t>
  </si>
  <si>
    <t>JOURNAL OF GENDER STUDIES</t>
  </si>
  <si>
    <t>J GENET GENOMICS</t>
  </si>
  <si>
    <t>Journal of Genetics and Genomics</t>
  </si>
  <si>
    <t>J GERONTOL NURS</t>
  </si>
  <si>
    <t>Journal of Gerontological Nursing</t>
  </si>
  <si>
    <t>J GLOB INF MANAG</t>
  </si>
  <si>
    <t>Journal of Global Information Management</t>
  </si>
  <si>
    <t>J HAND SURG-EUR VOL</t>
  </si>
  <si>
    <t>Journal of Hand Surgery-European Volume</t>
  </si>
  <si>
    <t>J HAND THER</t>
  </si>
  <si>
    <t>Journal of Hand Therapy</t>
  </si>
  <si>
    <t>J HEAD TRAUMA REHAB</t>
  </si>
  <si>
    <t>JOURNAL OF HEAD TRAUMA REHABILITATION</t>
  </si>
  <si>
    <t>J HEADACHE PAIN</t>
  </si>
  <si>
    <t>JOURNAL OF HEADACHE AND PAIN</t>
  </si>
  <si>
    <t>J HEALTH CARE POOR U</t>
  </si>
  <si>
    <t>JOURNAL OF HEALTH CARE FOR THE POOR AND UNDERSERVED</t>
  </si>
  <si>
    <t>J HEALTH COMMUN</t>
  </si>
  <si>
    <t>JOURNAL OF HEALTH COMMUNICATION</t>
  </si>
  <si>
    <t>J HEALTH PSYCHOL</t>
  </si>
  <si>
    <t>JOURNAL OF HEALTH PSYCHOLOGY</t>
  </si>
  <si>
    <t>J HEALTH SOC BEHAV</t>
  </si>
  <si>
    <t>JOURNAL OF HEALTH AND SOCIAL BEHAVIOR</t>
  </si>
  <si>
    <t>J HEALTHC MANAG</t>
  </si>
  <si>
    <t>JOURNAL OF HEALTHCARE MANAGEMENT</t>
  </si>
  <si>
    <t>J HEMATOL ONCOL</t>
  </si>
  <si>
    <t>Journal of Hematology &amp; Oncology</t>
  </si>
  <si>
    <t>J HIST NEUROSCI</t>
  </si>
  <si>
    <t>Journal of the History of the Neurosciences</t>
  </si>
  <si>
    <t>J HOMOSEXUAL</t>
  </si>
  <si>
    <t>JOURNAL OF HOMOSEXUALITY</t>
  </si>
  <si>
    <t>J HOSP MED</t>
  </si>
  <si>
    <t>Journal of Hospital Medicine</t>
  </si>
  <si>
    <t>J HUM KINET</t>
  </si>
  <si>
    <t>Journal of Human Kinetics</t>
  </si>
  <si>
    <t>J HUMANIST PSYCHOL</t>
  </si>
  <si>
    <t>JOURNAL OF HUMANISTIC PSYCHOLOGY</t>
  </si>
  <si>
    <t>J HYDROINFORM</t>
  </si>
  <si>
    <t>JOURNAL OF HYDROINFORMATICS</t>
  </si>
  <si>
    <t>J IMMUNOTOXICOL</t>
  </si>
  <si>
    <t>Journal of Immunotoxicology</t>
  </si>
  <si>
    <t>J INDIAN CHEM SOC</t>
  </si>
  <si>
    <t>JOURNAL OF THE INDIAN CHEMICAL SOCIETY</t>
  </si>
  <si>
    <t>J INF SCI</t>
  </si>
  <si>
    <t>JOURNAL OF INFORMATION SCIENCE</t>
  </si>
  <si>
    <t>JOURNAL OF INFORMATION TECHNOLOGY</t>
  </si>
  <si>
    <t>J INTEGR NEUROSCI</t>
  </si>
  <si>
    <t>Journal of Integrative Neuroscience</t>
  </si>
  <si>
    <t>J INTELLECT DEV DIS</t>
  </si>
  <si>
    <t>JOURNAL OF INTELLECTUAL &amp; DEVELOPMENTAL DISABILITY</t>
  </si>
  <si>
    <t>J INTERPERS VIOLENCE</t>
  </si>
  <si>
    <t>JOURNAL OF INTERPERSONAL VIOLENCE</t>
  </si>
  <si>
    <t>J KOREAN NEUROSURG S</t>
  </si>
  <si>
    <t>Journal of Korean Neurosurgical Society</t>
  </si>
  <si>
    <t>J KOREAN STAT SOC</t>
  </si>
  <si>
    <t>Journal of the Korean Statistical Society</t>
  </si>
  <si>
    <t>J LANG SOC PSYCHOL</t>
  </si>
  <si>
    <t>JOURNAL OF LANGUAGE AND SOCIAL PSYCHOLOGY</t>
  </si>
  <si>
    <t>J LEARN DISABIL-US</t>
  </si>
  <si>
    <t>JOURNAL OF LEARNING DISABILITIES</t>
  </si>
  <si>
    <t>J LEARN SCI</t>
  </si>
  <si>
    <t>JOURNAL OF THE LEARNING SCIENCES</t>
  </si>
  <si>
    <t>J LEGAL MED</t>
  </si>
  <si>
    <t>JOURNAL OF LEGAL MEDICINE</t>
  </si>
  <si>
    <t>J LIBR INF SCI</t>
  </si>
  <si>
    <t>JOURNAL OF LIBRARIANSHIP AND INFORMATION SCIENCE</t>
  </si>
  <si>
    <t>J LIT RES</t>
  </si>
  <si>
    <t>JOURNAL OF LITERACY RESEARCH</t>
  </si>
  <si>
    <t>J LOSS TRAUMA</t>
  </si>
  <si>
    <t>JOURNAL OF LOSS &amp; TRAUMA</t>
  </si>
  <si>
    <t>J MANAGE INFORM SYST</t>
  </si>
  <si>
    <t>JOURNAL OF MANAGEMENT INFORMATION SYSTEMS</t>
  </si>
  <si>
    <t>J MARITAL FAM THER</t>
  </si>
  <si>
    <t>JOURNAL OF MARITAL AND FAMILY THERAPY</t>
  </si>
  <si>
    <t>J MATERN-FETAL NEO M</t>
  </si>
  <si>
    <t>Journal of Maternal-Fetal &amp; Neonatal Medicine</t>
  </si>
  <si>
    <t>J MATH PSYCHOL</t>
  </si>
  <si>
    <t>JOURNAL OF MATHEMATICAL PSYCHOLOGY</t>
  </si>
  <si>
    <t>J MECH BEHAV BIOMED</t>
  </si>
  <si>
    <t>Journal of the Mechanical Behavior of Biomedical Materials</t>
  </si>
  <si>
    <t>J MECH MED BIOL</t>
  </si>
  <si>
    <t>Journal of Mechanics in Medicine and Biology</t>
  </si>
  <si>
    <t>J MED IMAG RADIAT ON</t>
  </si>
  <si>
    <t>Journal of Medical Imaging and Radiation Oncology</t>
  </si>
  <si>
    <t>J MED LIBR ASSOC</t>
  </si>
  <si>
    <t>JOURNAL OF THE MEDICAL LIBRARY ASSOCIATION</t>
  </si>
  <si>
    <t>J MED PHILOS</t>
  </si>
  <si>
    <t>JOURNAL OF MEDICINE AND PHILOSOPHY</t>
  </si>
  <si>
    <t>J MED ULTRASON</t>
  </si>
  <si>
    <t>Journal of Medical Ultrasonics</t>
  </si>
  <si>
    <t>J MENT HEALTH POLICY</t>
  </si>
  <si>
    <t>Journal of Mental Health Policy and Economics</t>
  </si>
  <si>
    <t>J MEX CHEM SOC</t>
  </si>
  <si>
    <t>Journal of the Mexican Chemical Society</t>
  </si>
  <si>
    <t>J MICRO-NANOLITH MEM</t>
  </si>
  <si>
    <t>Journal of Micro-Nanolithography MEMS and MOEMS</t>
  </si>
  <si>
    <t>J MIDWIFERY WOM HEAL</t>
  </si>
  <si>
    <t>JOURNAL OF MIDWIFERY &amp; WOMENS HEALTH</t>
  </si>
  <si>
    <t>J MULTICULT COUNS D</t>
  </si>
  <si>
    <t>JOURNAL OF MULTICULTURAL COUNSELING AND DEVELOPMENT</t>
  </si>
  <si>
    <t>J MUSIC THER</t>
  </si>
  <si>
    <t>JOURNAL OF MUSIC THERAPY</t>
  </si>
  <si>
    <t>J NAT MED-TOKYO</t>
  </si>
  <si>
    <t>Journal of Natural Medicines</t>
  </si>
  <si>
    <t>J NETW COMPUT APPL</t>
  </si>
  <si>
    <t>JOURNAL OF NETWORK AND COMPUTER APPLICATIONS</t>
  </si>
  <si>
    <t>J NEURAL ENG</t>
  </si>
  <si>
    <t>Journal of Neural Engineering</t>
  </si>
  <si>
    <t>J NEUROENG REHABIL</t>
  </si>
  <si>
    <t>Journal of NeuroEngineering and Rehabilitation</t>
  </si>
  <si>
    <t>J NEUROIMMUNE PHARM</t>
  </si>
  <si>
    <t>Journal of Neuroimmune Pharmacology</t>
  </si>
  <si>
    <t>J NEUROINFLAMM</t>
  </si>
  <si>
    <t>Journal of Neuroinflammation</t>
  </si>
  <si>
    <t>J NEUROPSYCHOL</t>
  </si>
  <si>
    <t>Journal of Neuropsychology</t>
  </si>
  <si>
    <t>J NEUROSURG-PEDIATR</t>
  </si>
  <si>
    <t>Journal of Neurosurgery-Pediatrics</t>
  </si>
  <si>
    <t>J NEW MUSIC RES</t>
  </si>
  <si>
    <t>JOURNAL OF NEW MUSIC RESEARCH</t>
  </si>
  <si>
    <t>J NONVERBAL BEHAV</t>
  </si>
  <si>
    <t>JOURNAL OF NONVERBAL BEHAVIOR</t>
  </si>
  <si>
    <t>J NUTR HEALTH AGING</t>
  </si>
  <si>
    <t>Journal of Nutrition Health &amp; Aging</t>
  </si>
  <si>
    <t>J OBSTET GYNAECOL</t>
  </si>
  <si>
    <t>JOURNAL OF OBSTETRICS AND GYNAECOLOGY</t>
  </si>
  <si>
    <t>J OCCUP HEALTH PSYCH</t>
  </si>
  <si>
    <t>Journal of Occupational Health Psychology</t>
  </si>
  <si>
    <t>J OCCUP ORGAN PSYCH</t>
  </si>
  <si>
    <t>JOURNAL OF OCCUPATIONAL AND ORGANIZATIONAL PSYCHOLOGY</t>
  </si>
  <si>
    <t>J OCCUP REHABIL</t>
  </si>
  <si>
    <t>JOURNAL OF OCCUPATIONAL REHABILITATION</t>
  </si>
  <si>
    <t>J ORG COMP ELECT COM</t>
  </si>
  <si>
    <t>JOURNAL OF ORGANIZATIONAL COMPUTING AND ELECTRONIC COMMERCE</t>
  </si>
  <si>
    <t>J ORGAN BEHAV</t>
  </si>
  <si>
    <t>JOURNAL OF ORGANIZATIONAL BEHAVIOR</t>
  </si>
  <si>
    <t>J ORGAN BEHAV MANAGE</t>
  </si>
  <si>
    <t>JOURNAL OF ORGANIZATIONAL BEHAVIOR MANAGEMENT</t>
  </si>
  <si>
    <t>J OROFAC ORTHOP</t>
  </si>
  <si>
    <t>Journal of Orofacial Orthopedics-Fortschritte der Kieferorthopadie</t>
  </si>
  <si>
    <t>J OTOLARYNGOL-HEAD N</t>
  </si>
  <si>
    <t>Journal of Otolaryngology-Head &amp; Neck Surgery</t>
  </si>
  <si>
    <t>J PALLIAT MED</t>
  </si>
  <si>
    <t>JOURNAL OF PALLIATIVE MEDICINE</t>
  </si>
  <si>
    <t>J PEDIAT-BRAZIL</t>
  </si>
  <si>
    <t>Jornal de Pediatria</t>
  </si>
  <si>
    <t>J PEDIATR ADOL GYNEC</t>
  </si>
  <si>
    <t>Journal of Pediatric and Adolescent Gynecology</t>
  </si>
  <si>
    <t>J PEDIATR ONCOL NURS</t>
  </si>
  <si>
    <t>Journal of Pediatric Oncology Nursing</t>
  </si>
  <si>
    <t>J PEDIATR PSYCHOL</t>
  </si>
  <si>
    <t>JOURNAL OF PEDIATRIC PSYCHOLOGY</t>
  </si>
  <si>
    <t>J PEDIATR-US</t>
  </si>
  <si>
    <t>J PERINATOL</t>
  </si>
  <si>
    <t>Journal of Perinatology</t>
  </si>
  <si>
    <t>J PERS</t>
  </si>
  <si>
    <t>JOURNAL OF PERSONALITY</t>
  </si>
  <si>
    <t>J PERS ASSESS</t>
  </si>
  <si>
    <t>JOURNAL OF PERSONALITY ASSESSMENT</t>
  </si>
  <si>
    <t>J PERS DISORD</t>
  </si>
  <si>
    <t>JOURNAL OF PERSONALITY DISORDERS</t>
  </si>
  <si>
    <t>J PERS SOC PSYCHOL</t>
  </si>
  <si>
    <t>JOURNAL OF PERSONALITY AND SOCIAL PSYCHOLOGY</t>
  </si>
  <si>
    <t>J POPUL ECON</t>
  </si>
  <si>
    <t>JOURNAL OF POPULATION ECONOMICS</t>
  </si>
  <si>
    <t>J POSIT BEHAV INTERV</t>
  </si>
  <si>
    <t>JOURNAL OF POSITIVE BEHAVIOR INTERVENTIONS</t>
  </si>
  <si>
    <t>J POSTGRAD MED</t>
  </si>
  <si>
    <t>Journal of Postgraduate Medicine</t>
  </si>
  <si>
    <t>J PSYCHIATR MENT HLT</t>
  </si>
  <si>
    <t>Journal of Psychiatric and Mental Health Nursing</t>
  </si>
  <si>
    <t>J PSYCHOACTIVE DRUGS</t>
  </si>
  <si>
    <t>JOURNAL OF PSYCHOACTIVE DRUGS</t>
  </si>
  <si>
    <t>J PSYCHOEDUC ASSESS</t>
  </si>
  <si>
    <t>JOURNAL OF PSYCHOEDUCATIONAL ASSESSMENT</t>
  </si>
  <si>
    <t>J PSYCHOL</t>
  </si>
  <si>
    <t>JOURNAL OF PSYCHOLOGY</t>
  </si>
  <si>
    <t>J PSYCHOL THEOL</t>
  </si>
  <si>
    <t>JOURNAL OF PSYCHOLOGY AND THEOLOGY</t>
  </si>
  <si>
    <t>J PSYCHOLINGUIST RES</t>
  </si>
  <si>
    <t>JOURNAL OF PSYCHOLINGUISTIC RESEARCH</t>
  </si>
  <si>
    <t>J PSYCHOPATHOL BEHAV</t>
  </si>
  <si>
    <t>JOURNAL OF PSYCHOPATHOLOGY AND BEHAVIORAL ASSESSMENT</t>
  </si>
  <si>
    <t>J PSYCHOSOC NURS MEN</t>
  </si>
  <si>
    <t>JOURNAL OF PSYCHOSOCIAL NURSING AND MENTAL HEALTH SERVICES</t>
  </si>
  <si>
    <t>J PSYCHOSOC ONCOL</t>
  </si>
  <si>
    <t>JOURNAL OF PSYCHOSOCIAL ONCOLOGY</t>
  </si>
  <si>
    <t>J PUBLIC HEALTH MAN</t>
  </si>
  <si>
    <t>JOURNAL OF PUBLIC HEALTH MANAGEMENT AND PRACTICE</t>
  </si>
  <si>
    <t>J PUBLIC HEALTH-UK</t>
  </si>
  <si>
    <t>J RECEPT SIG TRANSD</t>
  </si>
  <si>
    <t>JOURNAL OF RECEPTORS AND SIGNAL TRANSDUCTION</t>
  </si>
  <si>
    <t>J REHABIL</t>
  </si>
  <si>
    <t>JOURNAL OF REHABILITATION</t>
  </si>
  <si>
    <t>J RELIG HEALTH</t>
  </si>
  <si>
    <t>JOURNAL OF RELIGION &amp; HEALTH</t>
  </si>
  <si>
    <t>J REPROD INFANT PSYC</t>
  </si>
  <si>
    <t>JOURNAL OF REPRODUCTIVE AND INFANT PSYCHOLOGY</t>
  </si>
  <si>
    <t>J RES ADOLESCENCE</t>
  </si>
  <si>
    <t>JOURNAL OF RESEARCH ON ADOLESCENCE</t>
  </si>
  <si>
    <t>J RES PERS</t>
  </si>
  <si>
    <t>JOURNAL OF RESEARCH IN PERSONALITY</t>
  </si>
  <si>
    <t>J RES READ</t>
  </si>
  <si>
    <t>JOURNAL OF RESEARCH IN READING</t>
  </si>
  <si>
    <t>J RISK RES</t>
  </si>
  <si>
    <t>JOURNAL OF RISK RESEARCH</t>
  </si>
  <si>
    <t>J ROY SOC MED</t>
  </si>
  <si>
    <t>J ROY SOC NEW ZEAL</t>
  </si>
  <si>
    <t>J SAFETY RES</t>
  </si>
  <si>
    <t>JOURNAL OF SAFETY RESEARCH</t>
  </si>
  <si>
    <t>J SCHOLARLY PUBL</t>
  </si>
  <si>
    <t>JOURNAL OF SCHOLARLY PUBLISHING</t>
  </si>
  <si>
    <t>J SCHOOL PSYCHOL</t>
  </si>
  <si>
    <t>JOURNAL OF SCHOOL PSYCHOLOGY</t>
  </si>
  <si>
    <t>J SEX MARITAL THER</t>
  </si>
  <si>
    <t>JOURNAL OF SEX &amp; MARITAL THERAPY</t>
  </si>
  <si>
    <t>J SEX RES</t>
  </si>
  <si>
    <t>JOURNAL OF SEX RESEARCH</t>
  </si>
  <si>
    <t>J SOC CLIN PSYCHOL</t>
  </si>
  <si>
    <t>JOURNAL OF SOCIAL AND CLINICAL PSYCHOLOGY</t>
  </si>
  <si>
    <t>J SOC INF DISPLAY</t>
  </si>
  <si>
    <t>Journal of the Society for Information Display</t>
  </si>
  <si>
    <t>J SOC PERS RELAT</t>
  </si>
  <si>
    <t>JOURNAL OF SOCIAL AND PERSONAL RELATIONSHIPS</t>
  </si>
  <si>
    <t>J SOC PSYCHOL</t>
  </si>
  <si>
    <t>JOURNAL OF SOCIAL PSYCHOLOGY</t>
  </si>
  <si>
    <t>J SPEC PEDIATR NURS</t>
  </si>
  <si>
    <t>Journal for Specialists in Pediatric Nursing</t>
  </si>
  <si>
    <t>J SPEECH LANG HEAR R</t>
  </si>
  <si>
    <t>JOURNAL OF SPEECH LANGUAGE AND HEARING RESEARCH</t>
  </si>
  <si>
    <t>J STAT SOFTW</t>
  </si>
  <si>
    <t>Journal of Statistical Software</t>
  </si>
  <si>
    <t>J STUD ALCOHOL DRUGS</t>
  </si>
  <si>
    <t>Journal of Studies on Alcohol and Drugs</t>
  </si>
  <si>
    <t>J SUBST ABUSE TREAT</t>
  </si>
  <si>
    <t>JOURNAL OF SUBSTANCE ABUSE TREATMENT</t>
  </si>
  <si>
    <t>J THEOR SOC BEHAV</t>
  </si>
  <si>
    <t>JOURNAL FOR THE THEORY OF SOCIAL BEHAVIOUR</t>
  </si>
  <si>
    <t>J TISSUE ENG REGEN M</t>
  </si>
  <si>
    <t>Journal of Tissue Engineering and Regenerative Medicine</t>
  </si>
  <si>
    <t>J TOXICOL ENV HEAL A</t>
  </si>
  <si>
    <t>JOURNAL OF TOXICOLOGY AND ENVIRONMENTAL HEALTH-PART A-CURRENT ISSUES</t>
  </si>
  <si>
    <t>J TOXICOL ENV HEAL B</t>
  </si>
  <si>
    <t>JOURNAL OF TOXICOLOGY AND ENVIRONMENTAL HEALTH-PART B-CRITICAL REVIEWS</t>
  </si>
  <si>
    <t>J TRANSCULT NURS</t>
  </si>
  <si>
    <t>Journal of Transcultural Nursing</t>
  </si>
  <si>
    <t>J TRANSL MED</t>
  </si>
  <si>
    <t>Journal of Translational Medicine</t>
  </si>
  <si>
    <t>J TRAUMA STRESS</t>
  </si>
  <si>
    <t>JOURNAL OF TRAUMATIC STRESS</t>
  </si>
  <si>
    <t>J VENOM ANIM TOXINS</t>
  </si>
  <si>
    <t>JOURNAL OF VENOMOUS ANIMALS AND TOXINS INCLUDING TROPICAL DISEASES</t>
  </si>
  <si>
    <t>J VISUAL IMPAIR BLIN</t>
  </si>
  <si>
    <t>JOURNAL OF VISUAL IMPAIRMENT &amp; BLINDNESS</t>
  </si>
  <si>
    <t>J VOCAT BEHAV</t>
  </si>
  <si>
    <t>JOURNAL OF VOCATIONAL BEHAVIOR</t>
  </si>
  <si>
    <t>J WATER HEALTH</t>
  </si>
  <si>
    <t>JOURNAL OF WATER AND HEALTH</t>
  </si>
  <si>
    <t>J WOMEN AGING</t>
  </si>
  <si>
    <t>JOURNAL OF WOMEN &amp; AGING</t>
  </si>
  <si>
    <t>J WOMEN POLIT POLICY</t>
  </si>
  <si>
    <t>Journal of Women Politics &amp; Policy</t>
  </si>
  <si>
    <t>J WOUND OSTOMY CONT</t>
  </si>
  <si>
    <t>Journal of Wound Ostomy and Continence Nursing</t>
  </si>
  <si>
    <t>J X-RAY SCI TECHNOL</t>
  </si>
  <si>
    <t>Journal of X-Ray Science and Technology</t>
  </si>
  <si>
    <t>J YOUTH ADOLESCENCE</t>
  </si>
  <si>
    <t>JOURNAL OF YOUTH AND ADOLESCENCE</t>
  </si>
  <si>
    <t>J ZHEJIANG UNIV-SC B</t>
  </si>
  <si>
    <t>Journal of Zhejiang University-SCIENCE B</t>
  </si>
  <si>
    <t>JASSS-J ARTIF SOC S</t>
  </si>
  <si>
    <t>JASSS-THE JOURNAL OF ARTIFICIAL SOCIETIES AND SOCIAL SIMULATION</t>
  </si>
  <si>
    <t>JCPSP-J COLL PHYSICI</t>
  </si>
  <si>
    <t>JCPSP-Journal of the College of Physicians and Surgeons Pakistan</t>
  </si>
  <si>
    <t>JPEN-PARENTER ENTER</t>
  </si>
  <si>
    <t>JOURNAL OF PARENTERAL AND ENTERAL NUTRITION</t>
  </si>
  <si>
    <t>JPN J NURS SCI</t>
  </si>
  <si>
    <t>Japan Journal of Nursing Science</t>
  </si>
  <si>
    <t>JPN PSYCHOL RES</t>
  </si>
  <si>
    <t>JAPANESE PSYCHOLOGICAL RESEARCH</t>
  </si>
  <si>
    <t>KAOHSIUNG J MED SCI</t>
  </si>
  <si>
    <t>KAOHSIUNG JOURNAL OF MEDICAL SCIENCES</t>
  </si>
  <si>
    <t>KARDIOL POL</t>
  </si>
  <si>
    <t>Kardiologia Polska</t>
  </si>
  <si>
    <t>KINDH ENTWICKL</t>
  </si>
  <si>
    <t>KINDHEIT UND ENTWICKLUNG</t>
  </si>
  <si>
    <t>KNOWL ORGAN</t>
  </si>
  <si>
    <t>KNOWLEDGE ORGANIZATION</t>
  </si>
  <si>
    <t>KOLNER Z SOZIOL SOZ</t>
  </si>
  <si>
    <t>KOLNER ZEITSCHRIFT FUR SOZIOLOGIE UND SOZIALPSYCHOLOGIE</t>
  </si>
  <si>
    <t>LANG RESOUR EVAL</t>
  </si>
  <si>
    <t>Language Resources and Evaluation</t>
  </si>
  <si>
    <t>LANG SPEECH</t>
  </si>
  <si>
    <t>LANGUAGE AND SPEECH</t>
  </si>
  <si>
    <t>LANG SPEECH HEAR SER</t>
  </si>
  <si>
    <t>LANGUAGE SPEECH AND HEARING SERVICES IN SCHOOLS</t>
  </si>
  <si>
    <t>LANGMUIR</t>
  </si>
  <si>
    <t>LAT AM J PHARM</t>
  </si>
  <si>
    <t>Latin American Journal of Pharmacy</t>
  </si>
  <si>
    <t>LATERALITY</t>
  </si>
  <si>
    <t>LAW HUMAN BEHAV</t>
  </si>
  <si>
    <t>LAW AND HUMAN BEHAVIOR</t>
  </si>
  <si>
    <t>LAW LIBR J</t>
  </si>
  <si>
    <t>LAW LIBRARY JOURNAL</t>
  </si>
  <si>
    <t>LEADERSHIP QUART</t>
  </si>
  <si>
    <t>LEADERSHIP QUARTERLY</t>
  </si>
  <si>
    <t>LEARN BEHAV</t>
  </si>
  <si>
    <t>LEARNING &amp; BEHAVIOR</t>
  </si>
  <si>
    <t>LEARN DISABILITY Q</t>
  </si>
  <si>
    <t>LEARNING DISABILITY QUARTERLY</t>
  </si>
  <si>
    <t>LEARN INDIVID DIFFER</t>
  </si>
  <si>
    <t>LEARNING AND INDIVIDUAL DIFFERENCES</t>
  </si>
  <si>
    <t>LEARN INSTR</t>
  </si>
  <si>
    <t>LEARNING AND INSTRUCTION</t>
  </si>
  <si>
    <t>LEARN MOTIV</t>
  </si>
  <si>
    <t>LEARNING AND MOTIVATION</t>
  </si>
  <si>
    <t>LEARN PUBL</t>
  </si>
  <si>
    <t>LEARNED PUBLISHING</t>
  </si>
  <si>
    <t>LEGAL CRIMINOL PSYCH</t>
  </si>
  <si>
    <t>LEGAL AND CRIMINOLOGICAL PSYCHOLOGY</t>
  </si>
  <si>
    <t>LETT DRUG DES DISCOV</t>
  </si>
  <si>
    <t>Letters in Drug Design &amp; Discovery</t>
  </si>
  <si>
    <t>LIBR INFORM SC</t>
  </si>
  <si>
    <t>LIBRARY AND INFORMATION SCIENCE</t>
  </si>
  <si>
    <t>LIBR INFORM SCI RES</t>
  </si>
  <si>
    <t>LIBRARY &amp; INFORMATION SCIENCE RESEARCH</t>
  </si>
  <si>
    <t>LIBR J</t>
  </si>
  <si>
    <t>LIBRARY JOURNAL</t>
  </si>
  <si>
    <t>LIBR QUART</t>
  </si>
  <si>
    <t>LIBRARY QUARTERLY</t>
  </si>
  <si>
    <t>LIBR RESOUR TECH SER</t>
  </si>
  <si>
    <t>LIBRARY RESOURCES &amp; TECHNICAL SERVICES</t>
  </si>
  <si>
    <t>LIBR TRENDS</t>
  </si>
  <si>
    <t>LIBRARY TRENDS</t>
  </si>
  <si>
    <t>LIBRI</t>
  </si>
  <si>
    <t>LIPIDS HEALTH DIS</t>
  </si>
  <si>
    <t>Lipids in Health and Disease</t>
  </si>
  <si>
    <t>LOGOP PHONIATR VOCO</t>
  </si>
  <si>
    <t>Logopedics Phoniatrics Vocology</t>
  </si>
  <si>
    <t>MACED J CHEM CHEM EN</t>
  </si>
  <si>
    <t>Macedonian Journal of Chemistry and Chemical engineering</t>
  </si>
  <si>
    <t>MAEJO INT J SCI TECH</t>
  </si>
  <si>
    <t>Maejo International Journal of Science and Technology</t>
  </si>
  <si>
    <t>MAIN GROUP CHEM</t>
  </si>
  <si>
    <t>MAIN GROUP CHEMISTRY</t>
  </si>
  <si>
    <t>MAR DRUGS</t>
  </si>
  <si>
    <t>Marine Drugs</t>
  </si>
  <si>
    <t>MAR GENOM</t>
  </si>
  <si>
    <t>Marine Genomics</t>
  </si>
  <si>
    <t>MATERN CHILD HLTH J</t>
  </si>
  <si>
    <t>MATERNAL AND CHILD HEALTH JOURNAL</t>
  </si>
  <si>
    <t>MATH COMP MODEL DYN</t>
  </si>
  <si>
    <t>MATHEMATICAL AND COMPUTER MODELLING OF DYNAMICAL SYSTEMS</t>
  </si>
  <si>
    <t>MATH COMPUT SIMULAT</t>
  </si>
  <si>
    <t>MATHEMATICS AND COMPUTERS IN SIMULATION</t>
  </si>
  <si>
    <t>MATH POPUL STUD</t>
  </si>
  <si>
    <t>Mathematical Population Studies</t>
  </si>
  <si>
    <t>MCN-AM J MATERN-CHIL</t>
  </si>
  <si>
    <t>MCN-The American Journal of Maternal-Child Nursing</t>
  </si>
  <si>
    <t>MEAS EVAL COUNS DEV</t>
  </si>
  <si>
    <t>MEASUREMENT AND EVALUATION IN COUNSELING AND DEVELOPMENT</t>
  </si>
  <si>
    <t>MED ANTHROPOL Q</t>
  </si>
  <si>
    <t>MEDICAL ANTHROPOLOGY QUARTERLY</t>
  </si>
  <si>
    <t>MED CHEM</t>
  </si>
  <si>
    <t>Medicinal Chemistry</t>
  </si>
  <si>
    <t>MED DOSIM</t>
  </si>
  <si>
    <t>Medical Dosimetry</t>
  </si>
  <si>
    <t>MED LAV</t>
  </si>
  <si>
    <t>Medicina del Lavoro</t>
  </si>
  <si>
    <t>Medicina-Lithuania</t>
  </si>
  <si>
    <t>MEDIA PSYCHOL</t>
  </si>
  <si>
    <t>MEDIA PSYCHOLOGY</t>
  </si>
  <si>
    <t>MEM COGNITION</t>
  </si>
  <si>
    <t>MEMORY &amp; COGNITION</t>
  </si>
  <si>
    <t>MEMORY</t>
  </si>
  <si>
    <t>MERRILL PALMER QUART</t>
  </si>
  <si>
    <t>MERRILL-PALMER QUARTERLY-JOURNAL OF DEVELOPMENTAL PSYCHOLOGY</t>
  </si>
  <si>
    <t>METABOLOMICS</t>
  </si>
  <si>
    <t>Metabolomics</t>
  </si>
  <si>
    <t>MICROB CELL FACT</t>
  </si>
  <si>
    <t>Microbial Cell Factories</t>
  </si>
  <si>
    <t>MICROBES ENVIRON</t>
  </si>
  <si>
    <t>MICROBES AND ENVIRONMENTS</t>
  </si>
  <si>
    <t>MIKROBIYOL BUL</t>
  </si>
  <si>
    <t>MIKROBIYOLOJI BULTENI</t>
  </si>
  <si>
    <t>MIL PSYCHOL</t>
  </si>
  <si>
    <t>MILITARY PSYCHOLOGY</t>
  </si>
  <si>
    <t>MIND LANG</t>
  </si>
  <si>
    <t>MIND &amp; LANGUAGE</t>
  </si>
  <si>
    <t>MINERVA</t>
  </si>
  <si>
    <t>MINERVA ANESTESIOL</t>
  </si>
  <si>
    <t>Minerva Anestesiologica</t>
  </si>
  <si>
    <t>MINERVA CHIR</t>
  </si>
  <si>
    <t>MINERVA CHIRURGICA</t>
  </si>
  <si>
    <t>MINERVA MED</t>
  </si>
  <si>
    <t>MINERVA MEDICA</t>
  </si>
  <si>
    <t>MIS QUART</t>
  </si>
  <si>
    <t>MIS QUARTERLY</t>
  </si>
  <si>
    <t>MOL ASPECTS MED</t>
  </si>
  <si>
    <t>MOLECULAR ASPECTS OF MEDICINE</t>
  </si>
  <si>
    <t>MOL CANCER</t>
  </si>
  <si>
    <t>Molecular Cancer</t>
  </si>
  <si>
    <t>MOL DIVERS</t>
  </si>
  <si>
    <t>MOLECULAR DIVERSITY</t>
  </si>
  <si>
    <t>MOL ECOL RESOUR</t>
  </si>
  <si>
    <t>Molecular Ecology Resources</t>
  </si>
  <si>
    <t>MOL IMAGING</t>
  </si>
  <si>
    <t>Molecular Imaging</t>
  </si>
  <si>
    <t>MOL MED REP</t>
  </si>
  <si>
    <t>Molecular Medicine Reports</t>
  </si>
  <si>
    <t>MOL NEURODEGENER</t>
  </si>
  <si>
    <t>Molecular Neurodegeneration</t>
  </si>
  <si>
    <t>MOL ONCOL</t>
  </si>
  <si>
    <t>Molecular Oncology</t>
  </si>
  <si>
    <t>MOL PAIN</t>
  </si>
  <si>
    <t>Molecular Pain</t>
  </si>
  <si>
    <t>MOL PHARMACEUT</t>
  </si>
  <si>
    <t>MOLECULAR PHARMACEUTICS</t>
  </si>
  <si>
    <t>MOL PLANT</t>
  </si>
  <si>
    <t>Molecular Plant</t>
  </si>
  <si>
    <t>MONOGR SOC RES CHILD</t>
  </si>
  <si>
    <t>MONOGRAPHS OF THE SOCIETY FOR RESEARCH IN CHILD DEVELOPMENT</t>
  </si>
  <si>
    <t>MOTIV EMOTION</t>
  </si>
  <si>
    <t>MOTIVATION AND EMOTION</t>
  </si>
  <si>
    <t>MUSIC PERCEPT</t>
  </si>
  <si>
    <t>MUSIC PERCEPTION</t>
  </si>
  <si>
    <t>MUSIC SCI</t>
  </si>
  <si>
    <t>MUSICAE SCIENTIAE</t>
  </si>
  <si>
    <t>MYCOL PROG</t>
  </si>
  <si>
    <t>MYCOLOGICAL PROGRESS</t>
  </si>
  <si>
    <t>NANOMED-NANOTECHNOL</t>
  </si>
  <si>
    <t>Nanomedicine-Nanotechnology Biology and Medicine</t>
  </si>
  <si>
    <t>NANOTOXICOLOGY</t>
  </si>
  <si>
    <t>Nanotoxicology</t>
  </si>
  <si>
    <t>NAT PHOTONICS</t>
  </si>
  <si>
    <t>Nature Photonics</t>
  </si>
  <si>
    <t>NAT PHYS</t>
  </si>
  <si>
    <t>Nature Protocols</t>
  </si>
  <si>
    <t>NAT PROD COMMUN</t>
  </si>
  <si>
    <t>Natural Product Communications</t>
  </si>
  <si>
    <t>NAT PROTOC</t>
  </si>
  <si>
    <t>NEBR SYM MOTIV</t>
  </si>
  <si>
    <t>NEGOTIATION J</t>
  </si>
  <si>
    <t>NEGOTIATION JOURNAL</t>
  </si>
  <si>
    <t>NEONATOLOGY</t>
  </si>
  <si>
    <t>Neonatology</t>
  </si>
  <si>
    <t>NEPHROL THER</t>
  </si>
  <si>
    <t>Nephrologie &amp; Therapeutique</t>
  </si>
  <si>
    <t>NETH HEART J</t>
  </si>
  <si>
    <t>Netherlands Heart Journal</t>
  </si>
  <si>
    <t>NEURAL DEV</t>
  </si>
  <si>
    <t>Neural Development</t>
  </si>
  <si>
    <t>NEURAL NETW WORLD</t>
  </si>
  <si>
    <t>Neural Network World</t>
  </si>
  <si>
    <t>NEUROCHEM J+</t>
  </si>
  <si>
    <t>Neurochemical Journal</t>
  </si>
  <si>
    <t>NEURODEGENER DIS</t>
  </si>
  <si>
    <t>Neurodegenerative Diseases</t>
  </si>
  <si>
    <t>NEUROL NEUROCHIR POL</t>
  </si>
  <si>
    <t>Neurologia i Neurochirurgia Polska</t>
  </si>
  <si>
    <t>NEUROREHABILITATION</t>
  </si>
  <si>
    <t>NEUROSCIENCES</t>
  </si>
  <si>
    <t>Neurosciences</t>
  </si>
  <si>
    <t>NEUROTHERAPEUTICS</t>
  </si>
  <si>
    <t>NEW BIOTECHNOL</t>
  </si>
  <si>
    <t>New Biotechnology</t>
  </si>
  <si>
    <t>NEW IDEAS PSYCHOL</t>
  </si>
  <si>
    <t>NEW IDEAS IN PSYCHOLOGY</t>
  </si>
  <si>
    <t>NORD PSYCHOL</t>
  </si>
  <si>
    <t>Nordic Psychology</t>
  </si>
  <si>
    <t>NOTARZT</t>
  </si>
  <si>
    <t>NOTFALL RETTUNGSMED</t>
  </si>
  <si>
    <t>Notfall &amp; Rettungsmedizin</t>
  </si>
  <si>
    <t>NURS EDUC</t>
  </si>
  <si>
    <t>Nurse Educator</t>
  </si>
  <si>
    <t>NURS HEALTH SCI</t>
  </si>
  <si>
    <t>Nursing &amp; Health Sciences</t>
  </si>
  <si>
    <t>NURS INQ</t>
  </si>
  <si>
    <t>Nursing Inquiry</t>
  </si>
  <si>
    <t>NUTR CLIN METAB</t>
  </si>
  <si>
    <t>Nutrition Clinique et Metabolisme</t>
  </si>
  <si>
    <t>NUTR CLIN PRACT</t>
  </si>
  <si>
    <t>NUTRITION IN CLINICAL PRACTICE</t>
  </si>
  <si>
    <t>NUTR DIET</t>
  </si>
  <si>
    <t>Nutrition &amp; Dietetics</t>
  </si>
  <si>
    <t>NUTR HOSP</t>
  </si>
  <si>
    <t>Nutricion Hospitalaria</t>
  </si>
  <si>
    <t>NUTR METAB</t>
  </si>
  <si>
    <t>Nutrition &amp; Metabolism</t>
  </si>
  <si>
    <t>OBES RES CLIN PRACT</t>
  </si>
  <si>
    <t>Obesity Research &amp; Clinical Practice</t>
  </si>
  <si>
    <t>OBES REV</t>
  </si>
  <si>
    <t>Obesity Reviews</t>
  </si>
  <si>
    <t>OBESITY FACTS</t>
  </si>
  <si>
    <t>OCUL SURF</t>
  </si>
  <si>
    <t>Ocular Surface</t>
  </si>
  <si>
    <t>ODONTOLOGY</t>
  </si>
  <si>
    <t>Odontology</t>
  </si>
  <si>
    <t>OMEGA-J DEATH DYING</t>
  </si>
  <si>
    <t>OMEGA-JOURNAL OF DEATH AND DYING</t>
  </si>
  <si>
    <t>ONCOLOGIE</t>
  </si>
  <si>
    <t>ONKOLOGE</t>
  </si>
  <si>
    <t>ONLINE INFORM REV</t>
  </si>
  <si>
    <t>ONLINE INFORMATION REVIEW</t>
  </si>
  <si>
    <t>OPHTHALMIC GENET</t>
  </si>
  <si>
    <t>OPHTHALMIC GENETICS</t>
  </si>
  <si>
    <t>OPTOELECTRON ADV MAT</t>
  </si>
  <si>
    <t>Optoelectronics and Advanced Materials-Rapid Communications</t>
  </si>
  <si>
    <t>ORGAN BEHAV HUM DEC</t>
  </si>
  <si>
    <t>ORGANIZATIONAL BEHAVIOR AND HUMAN DECISION PROCESSES</t>
  </si>
  <si>
    <t>ORGAN DYN</t>
  </si>
  <si>
    <t>ORGANIZATIONAL DYNAMICS</t>
  </si>
  <si>
    <t>ORGAN RES METHODS</t>
  </si>
  <si>
    <t>ORGANIZATIONAL RESEARCH METHODS</t>
  </si>
  <si>
    <t>ORIGINS OF LIFE AND EVOLUTION OF BIOSPHERES</t>
  </si>
  <si>
    <t>ORPHANET J RARE DIS</t>
  </si>
  <si>
    <t>Orphanet Journal of Rare Diseases</t>
  </si>
  <si>
    <t>ORTHOD CRANIOFAC RES</t>
  </si>
  <si>
    <t>Orthodontics &amp; Craniofacial Research</t>
  </si>
  <si>
    <t>ORTHOP NURS</t>
  </si>
  <si>
    <t>Orthopaedic Nursing</t>
  </si>
  <si>
    <t>OSTOMY WOUND MANAG</t>
  </si>
  <si>
    <t>Ostomy Wound Management</t>
  </si>
  <si>
    <t>OTJR-OCCUP PART HEAL</t>
  </si>
  <si>
    <t>OTJR-OCCUPATION PARTICIPATION AND HEALTH</t>
  </si>
  <si>
    <t>OXID MED CELL LONGEV</t>
  </si>
  <si>
    <t>Oxidative Medicine and Cellular Longevity</t>
  </si>
  <si>
    <t>P COMBUST INST</t>
  </si>
  <si>
    <t>PROCEEDINGS OF THE COMBUSTION INSTITUTE</t>
  </si>
  <si>
    <t>P EST ACAD SCI</t>
  </si>
  <si>
    <t>Proceedings of the Estonian Academy of Sciences</t>
  </si>
  <si>
    <t>P NATL A SCI INDIA A</t>
  </si>
  <si>
    <t>PROCEEDINGS OF THE NATIONAL ACADEMY OF SCIENCES INDIA SECTION A-PHYSICAL SCIENCES</t>
  </si>
  <si>
    <t>P ROMANIAN ACAD A</t>
  </si>
  <si>
    <t>PAED CHILD HEALT-CAN</t>
  </si>
  <si>
    <t>Paediatrics &amp; Child Health</t>
  </si>
  <si>
    <t>PAEDIATR RESPIR REV</t>
  </si>
  <si>
    <t>Paediatric Respiratory Reviews</t>
  </si>
  <si>
    <t>PAIN MANAG NURS</t>
  </si>
  <si>
    <t>Pain Management Nursing</t>
  </si>
  <si>
    <t>PAK J MED SCI</t>
  </si>
  <si>
    <t>Pakistan Journal of Medical Sciences</t>
  </si>
  <si>
    <t>PAK J PHARM SCI</t>
  </si>
  <si>
    <t>Pakistan Journal of Pharmaceutical Sciences</t>
  </si>
  <si>
    <t>PARASITE VECTOR</t>
  </si>
  <si>
    <t>Parasites &amp; Vectors</t>
  </si>
  <si>
    <t>PEDIATR CRIT CARE ME</t>
  </si>
  <si>
    <t>Pediatric Critical Care Medicine</t>
  </si>
  <si>
    <t>PERCEPT MOTOR SKILL</t>
  </si>
  <si>
    <t>PERCEPTUAL AND MOTOR SKILLS</t>
  </si>
  <si>
    <t>PERS INDIV DIFFER</t>
  </si>
  <si>
    <t>PERSONALITY AND INDIVIDUAL DIFFERENCES</t>
  </si>
  <si>
    <t>PERS MED</t>
  </si>
  <si>
    <t>Personalized Medicine</t>
  </si>
  <si>
    <t>PERS PSYCHOL</t>
  </si>
  <si>
    <t>PERSONNEL PSYCHOLOGY</t>
  </si>
  <si>
    <t>PERS RELATIONSHIP</t>
  </si>
  <si>
    <t>PERSONAL RELATIONSHIPS</t>
  </si>
  <si>
    <t>PERS REV</t>
  </si>
  <si>
    <t>PERSONNEL REVIEW</t>
  </si>
  <si>
    <t>PERS SOC PSYCHOL B</t>
  </si>
  <si>
    <t>PERSONALITY AND SOCIAL PSYCHOLOGY BULLETIN</t>
  </si>
  <si>
    <t>PERS SOC PSYCHOL REV</t>
  </si>
  <si>
    <t>PERSONALITY AND SOCIAL PSYCHOLOGY REVIEW</t>
  </si>
  <si>
    <t>PERSPECT SEX REPRO H</t>
  </si>
  <si>
    <t>PERSPECTIVES ON SEXUAL AND REPRODUCTIVE HEALTH</t>
  </si>
  <si>
    <t>PHARM RES-DORDR</t>
  </si>
  <si>
    <t>PHILOS PSYCHOL</t>
  </si>
  <si>
    <t>PHILOSOPHICAL PSYCHOLOGY</t>
  </si>
  <si>
    <t>PHOSPHORUS SULFUR</t>
  </si>
  <si>
    <t>PHOSPHORUS SULFUR AND SILICON AND THE RELATED ELEMENTS</t>
  </si>
  <si>
    <t>PHOTONIC NANOSTRUCT</t>
  </si>
  <si>
    <t>Photonics and Nanostructures-Fundamentals and Applications</t>
  </si>
  <si>
    <t>PHYS LIFE REV</t>
  </si>
  <si>
    <t>Physics of Life Reviews</t>
  </si>
  <si>
    <t>PHYSIOL BEHAV</t>
  </si>
  <si>
    <t>PHYSIOLOGY &amp; BEHAVIOR</t>
  </si>
  <si>
    <t>PHYSIOTHERAPY</t>
  </si>
  <si>
    <t>Physiotherapy</t>
  </si>
  <si>
    <t>PHYTOCHEM LETT</t>
  </si>
  <si>
    <t>Phytochemistry Letters</t>
  </si>
  <si>
    <t>PIGM CELL MELANOMA R</t>
  </si>
  <si>
    <t>Pigment Cell &amp; Melanoma Research</t>
  </si>
  <si>
    <t>PLANT BIOTECHNOL REP</t>
  </si>
  <si>
    <t>Plant Biotechnology Reports</t>
  </si>
  <si>
    <t>PLOS NEGLECT TROP D</t>
  </si>
  <si>
    <t>PLoS Neglected Tropical Diseases</t>
  </si>
  <si>
    <t>POL J VET SCI</t>
  </si>
  <si>
    <t>POLISH JOURNAL OF VETERINARY SCIENCES</t>
  </si>
  <si>
    <t>POLICY SCI</t>
  </si>
  <si>
    <t>POLICY SCIENCES</t>
  </si>
  <si>
    <t>POLIT PSYCHOL</t>
  </si>
  <si>
    <t>POLITICAL PSYCHOLOGY</t>
  </si>
  <si>
    <t>POP STUD-J DEMOG</t>
  </si>
  <si>
    <t>POPULATION STUDIES-A JOURNAL OF DEMOGRAPHY</t>
  </si>
  <si>
    <t>POPUL DEV REV</t>
  </si>
  <si>
    <t>POPULATION AND DEVELOPMENT REVIEW</t>
  </si>
  <si>
    <t>POPUL ENVIRON</t>
  </si>
  <si>
    <t>POPULATION AND ENVIRONMENT</t>
  </si>
  <si>
    <t>POPUL HEALTH MANAG</t>
  </si>
  <si>
    <t>Population Health Management</t>
  </si>
  <si>
    <t>POPUL RES POLICY REV</t>
  </si>
  <si>
    <t>POPULATION RESEARCH AND POLICY REVIEW</t>
  </si>
  <si>
    <t>POPUL SPACE PLACE</t>
  </si>
  <si>
    <t>Population Space and Place</t>
  </si>
  <si>
    <t>POPULATION</t>
  </si>
  <si>
    <t>PORTAL-LIBR ACAD</t>
  </si>
  <si>
    <t>PORTAL-LIBRARIES AND THE ACADEMY</t>
  </si>
  <si>
    <t>POSTEP DERM ALERGOL</t>
  </si>
  <si>
    <t>Postepy Dermatologii i Alergologii</t>
  </si>
  <si>
    <t>POSTEP KARDIOL INTER</t>
  </si>
  <si>
    <t>Postepy w Kardiologii Interwencyjnej</t>
  </si>
  <si>
    <t>POSTEP MIKROBIOL</t>
  </si>
  <si>
    <t>Postepy Mikrobiologii</t>
  </si>
  <si>
    <t>POSTGRAD MED</t>
  </si>
  <si>
    <t>POSTGRADUATE MEDICINE</t>
  </si>
  <si>
    <t>PRAX KINDERPSYCHOL K</t>
  </si>
  <si>
    <t>PRAXIS DER KINDERPSYCHOLOGIE UND KINDERPSYCHIATRIE</t>
  </si>
  <si>
    <t>PREHOSP EMERG CARE</t>
  </si>
  <si>
    <t>Prehospital Emergency Care</t>
  </si>
  <si>
    <t>PREV SCI</t>
  </si>
  <si>
    <t>PREVENTION SCIENCE</t>
  </si>
  <si>
    <t>PRION</t>
  </si>
  <si>
    <t>Prion</t>
  </si>
  <si>
    <t>PROF PSYCHOL-RES PR</t>
  </si>
  <si>
    <t>PROFESSIONAL PSYCHOLOGY-RESEARCH AND PRACTICE</t>
  </si>
  <si>
    <t>PROG NUTR</t>
  </si>
  <si>
    <t>Progress in Nutrition</t>
  </si>
  <si>
    <t>PROTEOM CLIN APPL</t>
  </si>
  <si>
    <t>Proteomics Clinical Applications</t>
  </si>
  <si>
    <t>PROTEOME SCI</t>
  </si>
  <si>
    <t>Proteome Science</t>
  </si>
  <si>
    <t>PSICOLOGICA</t>
  </si>
  <si>
    <t>Psicologica</t>
  </si>
  <si>
    <t>PSICOTHEMA</t>
  </si>
  <si>
    <t>PSIKHOL ZH</t>
  </si>
  <si>
    <t>PSIKHOLOGICHESKII ZHURNAL</t>
  </si>
  <si>
    <t>PSYCHE-Z PSYCHOANAL</t>
  </si>
  <si>
    <t>PSYCHE-ZEITSCHRIFT FUR PSYCHOANALYSE UND IHRE ANWENDUNGEN</t>
  </si>
  <si>
    <t>PSYCHIAT ANN</t>
  </si>
  <si>
    <t>PSYCHIATRIC ANNALS</t>
  </si>
  <si>
    <t>PSYCHIAT CLIN N AM</t>
  </si>
  <si>
    <t>PSYCHIATRIC CLINICS OF NORTH AMERICA</t>
  </si>
  <si>
    <t>PSYCHIAT DANUB</t>
  </si>
  <si>
    <t>Psychiatria Danubina</t>
  </si>
  <si>
    <t>PSYCHIAT ENFANT</t>
  </si>
  <si>
    <t>PSYCHIATRIE DE L ENFANT</t>
  </si>
  <si>
    <t>PSYCHIAT PRAX</t>
  </si>
  <si>
    <t>PSYCHIATRISCHE PRAXIS</t>
  </si>
  <si>
    <t>PSYCHIAT QUART</t>
  </si>
  <si>
    <t>PSYCHIATRIC QUARTERLY</t>
  </si>
  <si>
    <t>PSYCHIATR POL</t>
  </si>
  <si>
    <t>Psychiatria Polska</t>
  </si>
  <si>
    <t>PSYCHIATR REHABIL J</t>
  </si>
  <si>
    <t>PSYCHIATRIC REHABILITATION JOURNAL</t>
  </si>
  <si>
    <t>PSYCHO-ONCOLOGIE</t>
  </si>
  <si>
    <t>PSYCHOANAL DIALOGUES</t>
  </si>
  <si>
    <t>PSYCHOANALYTIC DIALOGUES</t>
  </si>
  <si>
    <t>PSYCHOANAL INQ</t>
  </si>
  <si>
    <t>PSYCHOANALYTIC INQUIRY</t>
  </si>
  <si>
    <t>PSYCHOANAL PSYCHOL</t>
  </si>
  <si>
    <t>PSYCHOANALYTIC PSYCHOLOGY</t>
  </si>
  <si>
    <t>PSYCHOANAL QUART</t>
  </si>
  <si>
    <t>PSYCHOANALYTIC QUARTERLY</t>
  </si>
  <si>
    <t>PSYCHOGERIATRICS</t>
  </si>
  <si>
    <t>PSYCHOL ADDICT BEHAV</t>
  </si>
  <si>
    <t>PSYCHOLOGY OF ADDICTIVE BEHAVIORS</t>
  </si>
  <si>
    <t>PSYCHOL AGING</t>
  </si>
  <si>
    <t>PSYCHOLOGY AND AGING</t>
  </si>
  <si>
    <t>PSYCHOL ASSESSMENT</t>
  </si>
  <si>
    <t>PSYCHOLOGICAL ASSESSMENT</t>
  </si>
  <si>
    <t>PSYCHOL BELG</t>
  </si>
  <si>
    <t>PSYCHOLOGICA BELGICA</t>
  </si>
  <si>
    <t>PSYCHOL CRIME LAW</t>
  </si>
  <si>
    <t>PSYCHOLOGY CRIME &amp; LAW</t>
  </si>
  <si>
    <t>PSYCHOL ERZ UNTERR</t>
  </si>
  <si>
    <t>PSYCHOLOGIE IN ERZIEHUNG UND UNTERRICHT</t>
  </si>
  <si>
    <t>PSYCHOL HEALTH</t>
  </si>
  <si>
    <t>PSYCHOLOGY &amp; HEALTH</t>
  </si>
  <si>
    <t>PSYCHOL INQ</t>
  </si>
  <si>
    <t>PSYCHOLOGICAL INQUIRY</t>
  </si>
  <si>
    <t>PSYCHOL MARKET</t>
  </si>
  <si>
    <t>PSYCHOLOGY &amp; MARKETING</t>
  </si>
  <si>
    <t>PSYCHOL METHODS</t>
  </si>
  <si>
    <t>PSYCHOLOGICAL METHODS</t>
  </si>
  <si>
    <t>PSYCHOL PUBLIC POL L</t>
  </si>
  <si>
    <t>PSYCHOLOGY PUBLIC POLICY AND LAW</t>
  </si>
  <si>
    <t>PSYCHOL REC</t>
  </si>
  <si>
    <t>PSYCHOLOGICAL RECORD</t>
  </si>
  <si>
    <t>PSYCHOL REP</t>
  </si>
  <si>
    <t>PSYCHOLOGICAL REPORTS</t>
  </si>
  <si>
    <t>PSYCHOL RES-PSYCH FO</t>
  </si>
  <si>
    <t>PSYCHOLOGICAL RESEARCH-PSYCHOLOGISCHE FORSCHUNG</t>
  </si>
  <si>
    <t>PSYCHOL RUNDSCH</t>
  </si>
  <si>
    <t>PSYCHOLOGISCHE RUNDSCHAU</t>
  </si>
  <si>
    <t>PSYCHOL SCHOOLS</t>
  </si>
  <si>
    <t>PSYCHOLOGY IN THE SCHOOLS</t>
  </si>
  <si>
    <t>PSYCHOL SCI</t>
  </si>
  <si>
    <t>PSYCHOLOGICAL SCIENCE</t>
  </si>
  <si>
    <t>PSYCHOL WOMEN QUART</t>
  </si>
  <si>
    <t>PSYCHOLOGY OF WOMEN QUARTERLY</t>
  </si>
  <si>
    <t>PSYCHOLOGIA</t>
  </si>
  <si>
    <t>PSYCHOLOGIST</t>
  </si>
  <si>
    <t>PSYCHOMETRIKA</t>
  </si>
  <si>
    <t>PSYCHON B REV</t>
  </si>
  <si>
    <t>PSYCHONOMIC BULLETIN &amp; REVIEW</t>
  </si>
  <si>
    <t>PSYCHOTHER PSYCH MED</t>
  </si>
  <si>
    <t>PSYCHOTHERAPIE PSYCHOSOMATIK MEDIZINISCHE PSYCHOLOGIE</t>
  </si>
  <si>
    <t>PSYCHOTHER RES</t>
  </si>
  <si>
    <t>PSYCHOTHERAPY RESEARCH</t>
  </si>
  <si>
    <t>PSYCHOTHERAPEUT</t>
  </si>
  <si>
    <t>PSYCHOTHERAPY</t>
  </si>
  <si>
    <t>PUBLIC OPIN QUART</t>
  </si>
  <si>
    <t>PUBLIC OPINION QUARTERLY</t>
  </si>
  <si>
    <t>PUBLIC UNDERST SCI</t>
  </si>
  <si>
    <t>PUBLIC UNDERSTANDING OF SCIENCE</t>
  </si>
  <si>
    <t>PURINERG SIGNAL</t>
  </si>
  <si>
    <t>Emergency Medicine Australasia</t>
  </si>
  <si>
    <t>EMOTION</t>
  </si>
  <si>
    <t>ENT-EAR NOSE THROAT</t>
  </si>
  <si>
    <t>ENT-EAR NOSE &amp; THROAT JOURNAL</t>
  </si>
  <si>
    <t>ENVIRON BEHAV</t>
  </si>
  <si>
    <t>ENVIRONMENT AND BEHAVIOR</t>
  </si>
  <si>
    <t>ENVIRON CHEM</t>
  </si>
  <si>
    <t>Environmental Chemistry</t>
  </si>
  <si>
    <t>ENVIRON HEALTH-GLOB</t>
  </si>
  <si>
    <t>Environmental Health</t>
  </si>
  <si>
    <t>ENVIRON MODELL SOFTW</t>
  </si>
  <si>
    <t>ENVIRONMENTAL MODELLING &amp; SOFTWARE</t>
  </si>
  <si>
    <t>EPIDEMIOL PREV</t>
  </si>
  <si>
    <t>Epidemiologia &amp; Prevenzione</t>
  </si>
  <si>
    <t>ETHICS BEHAV</t>
  </si>
  <si>
    <t>ETHICS &amp; BEHAVIOR</t>
  </si>
  <si>
    <t>ETHIK MED</t>
  </si>
  <si>
    <t>Ethik in der Medizin</t>
  </si>
  <si>
    <t>ETHOS</t>
  </si>
  <si>
    <t>EUR ADDICT RES</t>
  </si>
  <si>
    <t>EUROPEAN ADDICTION RESEARCH</t>
  </si>
  <si>
    <t>EUR CELLS MATER</t>
  </si>
  <si>
    <t>EUROPEAN CELLS &amp; MATERIALS</t>
  </si>
  <si>
    <t>EUR CHILD ADOLES PSY</t>
  </si>
  <si>
    <t>EUROPEAN CHILD &amp; ADOLESCENT PSYCHIATRY</t>
  </si>
  <si>
    <t>EUR EAT DISORD REV</t>
  </si>
  <si>
    <t>EUROPEAN EATING DISORDERS REVIEW</t>
  </si>
  <si>
    <t>EUR J INFLAMM</t>
  </si>
  <si>
    <t>European Journal of Inflammation</t>
  </si>
  <si>
    <t>EUR J INTERN MED</t>
  </si>
  <si>
    <t>European Journal of Internal Medicine</t>
  </si>
  <si>
    <t>EUR J MIGR LAW</t>
  </si>
  <si>
    <t>EUROPEAN JOURNAL OF MIGRATION AND LAW</t>
  </si>
  <si>
    <t>EUR J ONCOL NURS</t>
  </si>
  <si>
    <t>European Journal of Oncology Nursing</t>
  </si>
  <si>
    <t>EUR J PERSONALITY</t>
  </si>
  <si>
    <t>EUROPEAN JOURNAL OF PERSONALITY</t>
  </si>
  <si>
    <t>EUR J POPUL</t>
  </si>
  <si>
    <t>EUR J PSYCHIAT</t>
  </si>
  <si>
    <t>EUROPEAN JOURNAL OF PSYCHIATRY</t>
  </si>
  <si>
    <t>EUR J PSYCHOL ASSESS</t>
  </si>
  <si>
    <t>EUROPEAN JOURNAL OF PSYCHOLOGICAL ASSESSMENT</t>
  </si>
  <si>
    <t>EUR J PSYCHOL EDUC</t>
  </si>
  <si>
    <t>EUROPEAN JOURNAL OF PSYCHOLOGY OF EDUCATION</t>
  </si>
  <si>
    <t>EUR J SOC PSYCHOL</t>
  </si>
  <si>
    <t>EUROPEAN JOURNAL OF SOCIAL PSYCHOLOGY</t>
  </si>
  <si>
    <t>EUR J SPORT SCI</t>
  </si>
  <si>
    <t>European Journal of Sport Science</t>
  </si>
  <si>
    <t>EUR J TRAUMA EMERG S</t>
  </si>
  <si>
    <t>European Journal of Trauma and Emergency Surgery</t>
  </si>
  <si>
    <t>EUR J WOMENS STUD</t>
  </si>
  <si>
    <t>EUROPEAN JOURNAL OF WOMENS STUDIES</t>
  </si>
  <si>
    <t>EUR J WORK ORGAN PSY</t>
  </si>
  <si>
    <t>European Journal of Work and Organizational Psychology</t>
  </si>
  <si>
    <t>EUR PSYCHOL</t>
  </si>
  <si>
    <t>EUROPEAN PSYCHOLOGIST</t>
  </si>
  <si>
    <t>EUR REV AGING PHYS A</t>
  </si>
  <si>
    <t>European Review of Aging and Physical Activity</t>
  </si>
  <si>
    <t>EUR REV MED PHARMACO</t>
  </si>
  <si>
    <t>European Review for Medical and Pharmacological Sciences</t>
  </si>
  <si>
    <t>EUR SURG</t>
  </si>
  <si>
    <t>European Surgery-Acta Chirurgica Austriaca</t>
  </si>
  <si>
    <t>EVAL PROGRAM PLANN</t>
  </si>
  <si>
    <t>EVALUATION AND PROGRAM PLANNING</t>
  </si>
  <si>
    <t>EVALUATION REV</t>
  </si>
  <si>
    <t>EVALUATION REVIEW</t>
  </si>
  <si>
    <t>EVID-BASED COMPL ALT</t>
  </si>
  <si>
    <t>Evidence-based Complementary and Alternative Medicine</t>
  </si>
  <si>
    <t>EVOL BIOL</t>
  </si>
  <si>
    <t>EVOL HUM BEHAV</t>
  </si>
  <si>
    <t>EVOLUTION AND HUMAN BEHAVIOR</t>
  </si>
  <si>
    <t>EVOL PSYCHIATR</t>
  </si>
  <si>
    <t>EVOLUTION PSYCHIATRIQUE</t>
  </si>
  <si>
    <t>EXCEPT CHILDREN</t>
  </si>
  <si>
    <t>EXCEPTIONAL CHILDREN</t>
  </si>
  <si>
    <t>EXP CLIN TRANSPLANT</t>
  </si>
  <si>
    <t>Experimental and Clinical Transplantation</t>
  </si>
  <si>
    <t>EXP PSYCHOL</t>
  </si>
  <si>
    <t>EXPERIMENTAL PSYCHOLOGY</t>
  </si>
  <si>
    <t>EXPERT OPIN DRUG DEL</t>
  </si>
  <si>
    <t>Expert Opinion on Drug Delivery</t>
  </si>
  <si>
    <t>EXPERT OPIN DRUG MET</t>
  </si>
  <si>
    <t>Expert Opinion on Drug Metabolism &amp; Toxicology</t>
  </si>
  <si>
    <t>EXPERT OPIN DRUG SAF</t>
  </si>
  <si>
    <t>Expert Opinion On Drug Safety</t>
  </si>
  <si>
    <t>EXPERT OPIN EMERG DR</t>
  </si>
  <si>
    <t>EXPERT OPINION ON EMERGING DRUGS</t>
  </si>
  <si>
    <t>EXPERT REV ANTI-INFE</t>
  </si>
  <si>
    <t>Expert Review of Anti-Infective Therapy</t>
  </si>
  <si>
    <t>EXPERT REV ANTICANC</t>
  </si>
  <si>
    <t>Expert Review of Anticancer Therapy</t>
  </si>
  <si>
    <t>EXPERT REV VACCINES</t>
  </si>
  <si>
    <t>Expert Review of Vaccines</t>
  </si>
  <si>
    <t>FACIAL PLAST SURG</t>
  </si>
  <si>
    <t>FACIAL PLASTIC SURGERY</t>
  </si>
  <si>
    <t>FAM CANCER</t>
  </si>
  <si>
    <t>Familial Cancer</t>
  </si>
  <si>
    <t>FAM COMMUNITY HEALTH</t>
  </si>
  <si>
    <t>FAMILY &amp; COMMUNITY HEALTH</t>
  </si>
  <si>
    <t>FAM PROCESS</t>
  </si>
  <si>
    <t>FAMILY PROCESS</t>
  </si>
  <si>
    <t>FARMACIA</t>
  </si>
  <si>
    <t>FEM ECON</t>
  </si>
  <si>
    <t>FEMINIST ECONOMICS</t>
  </si>
  <si>
    <t>FEM PSYCHOL</t>
  </si>
  <si>
    <t>FEMINISM &amp; PSYCHOLOGY</t>
  </si>
  <si>
    <t>FEMINIST REV</t>
  </si>
  <si>
    <t>FEMINIST REVIEW</t>
  </si>
  <si>
    <t>FLY</t>
  </si>
  <si>
    <t>FOOD ADDIT CONTAM A</t>
  </si>
  <si>
    <t>FOOD ADDIT CONTAM B</t>
  </si>
  <si>
    <t>Food Additives &amp; Contaminants Part B-Surveillance</t>
  </si>
  <si>
    <t>FOOD NUTR BULL</t>
  </si>
  <si>
    <t>FOOD AND NUTRITION BULLETIN</t>
  </si>
  <si>
    <t>FORENSIC SCI INT-GEN</t>
  </si>
  <si>
    <t>Forensic Science International-Genetics</t>
  </si>
  <si>
    <t>FORUM PSYCHOANAL</t>
  </si>
  <si>
    <t>FORUM DER PSYCHOANALYSE</t>
  </si>
  <si>
    <t>FRONT HUM NEUROSCI</t>
  </si>
  <si>
    <t>Frontiers in Human Neuroscience</t>
  </si>
  <si>
    <t>FRONTIERS</t>
  </si>
  <si>
    <t>FRONTIERS-A JOURNAL OF WOMEN STUDIES</t>
  </si>
  <si>
    <t>FUNCT INTEGR GENOMIC</t>
  </si>
  <si>
    <t>FUNCTIONAL &amp; INTEGRATIVE GENOMICS</t>
  </si>
  <si>
    <t>FUNGAL ECOL</t>
  </si>
  <si>
    <t>Fungal Ecology</t>
  </si>
  <si>
    <t>FUTURE CHILD</t>
  </si>
  <si>
    <t>FUTURE OF CHILDREN</t>
  </si>
  <si>
    <t>FUTURE MICROBIOL</t>
  </si>
  <si>
    <t>Future Microbiology</t>
  </si>
  <si>
    <t>FUTURE VIROL</t>
  </si>
  <si>
    <t>Future Virology</t>
  </si>
  <si>
    <t>GAC MED MEX</t>
  </si>
  <si>
    <t>Gaceta Medica de Mexico</t>
  </si>
  <si>
    <t>GASTRIC CANCER</t>
  </si>
  <si>
    <t>GASTROENTEROL NURS</t>
  </si>
  <si>
    <t>Gastroenterology Nursing</t>
  </si>
  <si>
    <t>GENDER PLACE CULT</t>
  </si>
  <si>
    <t>Gender Place and Culture</t>
  </si>
  <si>
    <t>GENDER SOC</t>
  </si>
  <si>
    <t>GENDER &amp; SOCIETY</t>
  </si>
  <si>
    <t>GENDER WORK ORGAN</t>
  </si>
  <si>
    <t>GENDER WORK AND ORGANIZATION</t>
  </si>
  <si>
    <t>GENES GENOM</t>
  </si>
  <si>
    <t>Genes &amp; Genomics</t>
  </si>
  <si>
    <t>GENES NUTR</t>
  </si>
  <si>
    <t>Genes and Nutrition</t>
  </si>
  <si>
    <t>GEOBIOLOGY</t>
  </si>
  <si>
    <t>Geobiology</t>
  </si>
  <si>
    <t>GEOSPATIAL HEALTH</t>
  </si>
  <si>
    <t>Geospatial Health</t>
  </si>
  <si>
    <t>GERIATR GERONTOL INT</t>
  </si>
  <si>
    <t>Geriatrics &amp; Gerontology International</t>
  </si>
  <si>
    <t>GESUNDHEITSWESEN</t>
  </si>
  <si>
    <t>GLQ-J LESBIAN GAY ST</t>
  </si>
  <si>
    <t>GLQ-A JOURNAL OF LESBIAN AND GAY STUDIES</t>
  </si>
  <si>
    <t>GOV INFORM Q</t>
  </si>
  <si>
    <t>GOVERNMENT INFORMATION QUARTERLY</t>
  </si>
  <si>
    <t>GROUP DECIS NEGOT</t>
  </si>
  <si>
    <t>GROUP DECISION AND NEGOTIATION</t>
  </si>
  <si>
    <t>GROUP DYN-THEOR RES</t>
  </si>
  <si>
    <t>GROUP DYNAMICS-THEORY RESEARCH AND PRACTICE</t>
  </si>
  <si>
    <t>GROUP ORGAN MANAGE</t>
  </si>
  <si>
    <t>GROUP &amp; ORGANIZATION MANAGEMENT</t>
  </si>
  <si>
    <t>GROUP PROCESS INTERG</t>
  </si>
  <si>
    <t>GROUP PROCESSES &amp; INTERGROUP RELATIONS</t>
  </si>
  <si>
    <t>GRUPPENPSYCHOTHER GR</t>
  </si>
  <si>
    <t>GRUPPENPSYCHOTHERAPIE UND GRUPPENDYNAMIK</t>
  </si>
  <si>
    <t>GUT LIVER</t>
  </si>
  <si>
    <t>Gut and Liver</t>
  </si>
  <si>
    <t>HACET J MATH STAT</t>
  </si>
  <si>
    <t>Hacettepe Journal of Mathematics and Statistics</t>
  </si>
  <si>
    <t>HANDCHIR MIKROCHIR P</t>
  </si>
  <si>
    <t>Handchirurgie Mikrochirurgie Plastische Chirurgie</t>
  </si>
  <si>
    <t>HARVARD REV PSYCHIAT</t>
  </si>
  <si>
    <t>HARVARD REVIEW OF PSYCHIATRY</t>
  </si>
  <si>
    <t>HEALTH</t>
  </si>
  <si>
    <t>HEALTH CARE ANAL</t>
  </si>
  <si>
    <t>HEALTH CARE ANALYSIS</t>
  </si>
  <si>
    <t>HEALTH CARE MANAGE R</t>
  </si>
  <si>
    <t>HEALTH CARE MANAGEMENT REVIEW</t>
  </si>
  <si>
    <t>HEALTH COMMUN</t>
  </si>
  <si>
    <t>HEALTH COMMUNICATION</t>
  </si>
  <si>
    <t>HEALTH EDUC BEHAV</t>
  </si>
  <si>
    <t>HEALTH EDUCATION &amp; BEHAVIOR</t>
  </si>
  <si>
    <t>HEALTH EDUC RES</t>
  </si>
  <si>
    <t>HEALTH EDUCATION RESEARCH</t>
  </si>
  <si>
    <t>HEALTH INF MANAG J</t>
  </si>
  <si>
    <t>Health Information Management Journal</t>
  </si>
  <si>
    <t>HEALTH INFO LIBR J</t>
  </si>
  <si>
    <t>Health Information and Libraries Journal</t>
  </si>
  <si>
    <t>HEALTH PLACE</t>
  </si>
  <si>
    <t>HEALTH &amp; PLACE</t>
  </si>
  <si>
    <t>HEALTH PROMOT INT</t>
  </si>
  <si>
    <t>HEALTH PROMOTION INTERNATIONAL</t>
  </si>
  <si>
    <t>HEALTH QUAL LIFE OUT</t>
  </si>
  <si>
    <t>Health and Quality of Life Outcomes</t>
  </si>
  <si>
    <t>HEALTH RISK SOC</t>
  </si>
  <si>
    <t>HEALTH RISK &amp; SOCIETY</t>
  </si>
  <si>
    <t>HEALTH SOC CARE COMM</t>
  </si>
  <si>
    <t>HEALTH &amp; SOCIAL CARE IN THE COMMUNITY</t>
  </si>
  <si>
    <t>HELL J NUCL MED</t>
  </si>
  <si>
    <t>Hellenic Journal of Nuclear Medicine</t>
  </si>
  <si>
    <t>HEMATOLOGY</t>
  </si>
  <si>
    <t>Hematology</t>
  </si>
  <si>
    <t>HEPAT MON</t>
  </si>
  <si>
    <t>Hepatitis Monthly</t>
  </si>
  <si>
    <t>HEPATOB PANCREAT DIS</t>
  </si>
  <si>
    <t>Hepatobiliary &amp; Pancreatic Diseases International</t>
  </si>
  <si>
    <t>HEPATOL INT</t>
  </si>
  <si>
    <t>Hepatology International</t>
  </si>
  <si>
    <t>HERED CANCER CLIN PR</t>
  </si>
  <si>
    <t>Hereditary Cancer in Clinical Practice</t>
  </si>
  <si>
    <t>HIP INT</t>
  </si>
  <si>
    <t>Hip International</t>
  </si>
  <si>
    <t>HISPANIC J BEHAV SCI</t>
  </si>
  <si>
    <t>HISPANIC JOURNAL OF BEHAVIORAL SCIENCES</t>
  </si>
  <si>
    <t>HIST PSYCHIATR</t>
  </si>
  <si>
    <t>HISTORY OF PSYCHIATRY</t>
  </si>
  <si>
    <t>HONG KONG J OCCUP TH</t>
  </si>
  <si>
    <t>Hong Kong Journal of Occupational Therapy</t>
  </si>
  <si>
    <t>HUM CELL</t>
  </si>
  <si>
    <t>Human Cell</t>
  </si>
  <si>
    <t>HUM DEV</t>
  </si>
  <si>
    <t>HUMAN DEVELOPMENT</t>
  </si>
  <si>
    <t>HUM NATURE-INT BIOS</t>
  </si>
  <si>
    <t>HUMAN NATURE-AN INTERDISCIPLINARY BIOSOCIAL PERSPECTIVE</t>
  </si>
  <si>
    <t>HUM ORGAN</t>
  </si>
  <si>
    <t>HUMAN ORGANIZATION</t>
  </si>
  <si>
    <t>HUM PERFORM</t>
  </si>
  <si>
    <t>HUMAN PERFORMANCE</t>
  </si>
  <si>
    <t>HUM RELAT</t>
  </si>
  <si>
    <t>HUMAN RELATIONS</t>
  </si>
  <si>
    <t>HUM RESOUR MANAGE-US</t>
  </si>
  <si>
    <t>HUMAN RESOURCE MANAGEMENT</t>
  </si>
  <si>
    <t>HUMOR</t>
  </si>
  <si>
    <t>HUMOR-INTERNATIONAL JOURNAL OF HUMOR RESEARCH</t>
  </si>
  <si>
    <t>IEEE T BIOMED CIRC S</t>
  </si>
  <si>
    <t>IEEE Transactions on Biomedical Circuits and Systems</t>
  </si>
  <si>
    <t>IEEE T COMPUT AID D</t>
  </si>
  <si>
    <t>IEEE T IND INFORM</t>
  </si>
  <si>
    <t>IEEE Transactions on Industrial Informatics</t>
  </si>
  <si>
    <t>IET NANOBIOTECHNOL</t>
  </si>
  <si>
    <t>IET Nanobiotechnology</t>
  </si>
  <si>
    <t>IET OPTOELECTRON</t>
  </si>
  <si>
    <t>IET Optoelectronics</t>
  </si>
  <si>
    <t>IET SYST BIOL</t>
  </si>
  <si>
    <t>IET Systems Biology</t>
  </si>
  <si>
    <t>IMPLANT DENT</t>
  </si>
  <si>
    <t>Implant Dentistry</t>
  </si>
  <si>
    <t>IMPLEMENT SCI</t>
  </si>
  <si>
    <t>Implementation Science</t>
  </si>
  <si>
    <t>IND MANAGE DATA SYST</t>
  </si>
  <si>
    <t>INDUSTRIAL MANAGEMENT &amp; DATA SYSTEMS</t>
  </si>
  <si>
    <t>INDIAN J CHEM A</t>
  </si>
  <si>
    <t>INDIAN JOURNAL OF CHEMISTRY SECTION A-INORGANIC BIO-INORGANIC PHYSICAL THEORETICAL &amp; ANALYTICAL CHEMISTRY</t>
  </si>
  <si>
    <t>INDIAN J DERMATOL VE</t>
  </si>
  <si>
    <t>Indian Journal of Dermatology Venereology &amp; Leprology</t>
  </si>
  <si>
    <t>INDIAN J EXP BIOL</t>
  </si>
  <si>
    <t>INDIAN JOURNAL OF EXPERIMENTAL BIOLOGY</t>
  </si>
  <si>
    <t>INDIAN J GEND STUD</t>
  </si>
  <si>
    <t>Indian Journal of Gender Studies</t>
  </si>
  <si>
    <t>INDIAN J PEDIATR</t>
  </si>
  <si>
    <t>INDIAN JOURNAL OF PEDIATRICS</t>
  </si>
  <si>
    <t>INDIAN J PHARM EDUC</t>
  </si>
  <si>
    <t>Indian Journal of Pharmaceutical Education and Research</t>
  </si>
  <si>
    <t>INDIAN J PHARMACOL</t>
  </si>
  <si>
    <t>INDIAN JOURNAL OF PHARMACOLOGY</t>
  </si>
  <si>
    <t>INDIAN PEDIATR</t>
  </si>
  <si>
    <t>INDIAN PEDIATRICS</t>
  </si>
  <si>
    <t>INFANCY</t>
  </si>
  <si>
    <t>INFANT BEHAV DEV</t>
  </si>
  <si>
    <t>INFANT BEHAVIOR &amp; DEVELOPMENT</t>
  </si>
  <si>
    <t>INFANT CHILD DEV</t>
  </si>
  <si>
    <t>INFANT AND CHILD DEVELOPMENT</t>
  </si>
  <si>
    <t>INFANT MENT HEALTH J</t>
  </si>
  <si>
    <t>INFANT MENTAL HEALTH JOURNAL</t>
  </si>
  <si>
    <t>INFANT YOUNG CHILD</t>
  </si>
  <si>
    <t>INFECT GENET EVOL</t>
  </si>
  <si>
    <t>INFECTION GENETICS AND EVOLUTION</t>
  </si>
  <si>
    <t>INFLUENZA OTHER RESP</t>
  </si>
  <si>
    <t>Influenza and Other Respiratory Viruses</t>
  </si>
  <si>
    <t>INFORM HEALTH SOC CA</t>
  </si>
  <si>
    <t>Informatics for Health &amp; Social Care</t>
  </si>
  <si>
    <t>INFORM MANAGE-AMSTER</t>
  </si>
  <si>
    <t>INFORMATION &amp; MANAGEMENT</t>
  </si>
  <si>
    <t>INFORM PROCESS MANAG</t>
  </si>
  <si>
    <t>INFORMATION PROCESSING &amp; MANAGEMENT</t>
  </si>
  <si>
    <t>INFORM RES</t>
  </si>
  <si>
    <t>INFORMATION RESEARCH-AN INTERNATIONAL ELECTRONIC JOURNAL</t>
  </si>
  <si>
    <t>INFORM SOC</t>
  </si>
  <si>
    <t>INFORMATION SOCIETY</t>
  </si>
  <si>
    <t>INFORM SYST J</t>
  </si>
  <si>
    <t>INFORMATION SYSTEMS JOURNAL</t>
  </si>
  <si>
    <t>INFORM SYST RES</t>
  </si>
  <si>
    <t>INFORMATION SYSTEMS RESEARCH</t>
  </si>
  <si>
    <t>INFORM TECHNOL LIBR</t>
  </si>
  <si>
    <t>INFORMATION TECHNOLOGY AND LIBRARIES</t>
  </si>
  <si>
    <t>INFORMS J COMPUT</t>
  </si>
  <si>
    <t>INFORMS JOURNAL ON COMPUTING</t>
  </si>
  <si>
    <t>Innate Immunity</t>
  </si>
  <si>
    <t>INSTR SCI</t>
  </si>
  <si>
    <t>INSTRUCTIONAL SCIENCE</t>
  </si>
  <si>
    <t>INT J AGING HUM DEV</t>
  </si>
  <si>
    <t>INTERNATIONAL JOURNAL OF AGING &amp; HUMAN DEVELOPMENT</t>
  </si>
  <si>
    <t>INT J ARTIF INTELL T</t>
  </si>
  <si>
    <t>International Journal on Artificial Intelligence Tools</t>
  </si>
  <si>
    <t>INT J AUTO TECH-KOR</t>
  </si>
  <si>
    <t>INT J BEHAV DEV</t>
  </si>
  <si>
    <t>INTERNATIONAL JOURNAL OF BEHAVIORAL DEVELOPMENT</t>
  </si>
  <si>
    <t>INT J BEHAV MED</t>
  </si>
  <si>
    <t>INTERNATIONAL JOURNAL OF BEHAVIORAL MEDICINE</t>
  </si>
  <si>
    <t>INT J BEHAV NUTR PHY</t>
  </si>
  <si>
    <t>International Journal of Behavioral Nutrition and Physical Activity</t>
  </si>
  <si>
    <t>INT J BIOL SCI</t>
  </si>
  <si>
    <t>International Journal of Biological Sciences</t>
  </si>
  <si>
    <t>INT J CIRCUMPOL HEAL</t>
  </si>
  <si>
    <t>International Journal of Circumpolar Health</t>
  </si>
  <si>
    <t>INT J CLIN EXP HYP</t>
  </si>
  <si>
    <t>INTERNATIONAL JOURNAL OF CLINICAL AND EXPERIMENTAL HYPNOSIS</t>
  </si>
  <si>
    <t>INT J CLIN HLTH PSYC</t>
  </si>
  <si>
    <t>International Journal of Clinical and Health Psychology</t>
  </si>
  <si>
    <t>INT J CLIN ONCOL</t>
  </si>
  <si>
    <t>International Journal of Clinical Oncology</t>
  </si>
  <si>
    <t>INT J COMPUT INTEG M</t>
  </si>
  <si>
    <t>INTERNATIONAL JOURNAL OF COMPUTER INTEGRATED MANUFACTURING</t>
  </si>
  <si>
    <t>INT J DRUG POLICY</t>
  </si>
  <si>
    <t>INTERNATIONAL JOURNAL OF DRUG POLICY</t>
  </si>
  <si>
    <t>INT J GEOGR INF SCI</t>
  </si>
  <si>
    <t>INTERNATIONAL JOURNAL OF GEOGRAPHICAL INFORMATION SCIENCE</t>
  </si>
  <si>
    <t>INT J GERONTOL</t>
  </si>
  <si>
    <t>International Journal of Gerontology</t>
  </si>
  <si>
    <t>INT J GROUP PSYCHOTH</t>
  </si>
  <si>
    <t>INTERNATIONAL JOURNAL OF GROUP PSYCHOTHERAPY</t>
  </si>
  <si>
    <t>INT J HEALTH PLAN M</t>
  </si>
  <si>
    <t>INTERNATIONAL JOURNAL OF HEALTH PLANNING AND MANAGEMENT</t>
  </si>
  <si>
    <t>INT J HIGH PERFORM C</t>
  </si>
  <si>
    <t>INTERNATIONAL JOURNAL OF HIGH PERFORMANCE COMPUTING APPLICATIONS</t>
  </si>
  <si>
    <t>INT J HUM-COMPUT ST</t>
  </si>
  <si>
    <t>INTERNATIONAL JOURNAL OF HUMAN-COMPUTER STUDIES</t>
  </si>
  <si>
    <t>INT J INF TECH DECIS</t>
  </si>
  <si>
    <t>INTERNATIONAL JOURNAL OF INFORMATION TECHNOLOGY &amp; DECISION MAKING</t>
  </si>
  <si>
    <t>INT J INFORM MANAGE</t>
  </si>
  <si>
    <t>INTERNATIONAL JOURNAL OF INFORMATION MANAGEMENT</t>
  </si>
  <si>
    <t>INT J INTERCULT REL</t>
  </si>
  <si>
    <t>INTERNATIONAL JOURNAL OF INTERCULTURAL RELATIONS</t>
  </si>
  <si>
    <t>INT J LAB HEMATOL</t>
  </si>
  <si>
    <t>International Journal of Laboratory Hematology</t>
  </si>
  <si>
    <t>INT J LANG COMM DIS</t>
  </si>
  <si>
    <t>INTERNATIONAL JOURNAL OF LANGUAGE &amp; COMMUNICATION DISORDERS</t>
  </si>
  <si>
    <t>INT J LAW PSYCHIAT</t>
  </si>
  <si>
    <t>INTERNATIONAL JOURNAL OF LAW AND PSYCHIATRY</t>
  </si>
  <si>
    <t>INT J MED MUSHROOMS</t>
  </si>
  <si>
    <t>INTERNATIONAL JOURNAL OF MEDICINAL MUSHROOMS</t>
  </si>
  <si>
    <t>INT J METH PSYCH RES</t>
  </si>
  <si>
    <t>INTERNATIONAL JOURNAL OF METHODS IN PSYCHIATRIC RESEARCH</t>
  </si>
  <si>
    <t>INT J MOD PHYS C</t>
  </si>
  <si>
    <t>INTERNATIONAL JOURNAL OF MODERN PHYSICS C</t>
  </si>
  <si>
    <t>INT J NANOMED</t>
  </si>
  <si>
    <t>International Journal of Nanomedicine</t>
  </si>
  <si>
    <t>INT J NUMER METH FL</t>
  </si>
  <si>
    <t>INTERNATIONAL JOURNAL FOR NUMERICAL METHODS IN FLUIDS</t>
  </si>
  <si>
    <t>INT J OFFENDER THER</t>
  </si>
  <si>
    <t>INTERNATIONAL JOURNAL OF OFFENDER THERAPY AND COMPARATIVE CRIMINOLOGY</t>
  </si>
  <si>
    <t>INT J OSTEOPATH MED</t>
  </si>
  <si>
    <t>International Journal of Osteopathic Medicine</t>
  </si>
  <si>
    <t>INT J PAEDIATR DENT</t>
  </si>
  <si>
    <t>International Journal of Paediatric Dentistry</t>
  </si>
  <si>
    <t>INT J PHARMACEUT</t>
  </si>
  <si>
    <t>INT J PSYCHOANAL</t>
  </si>
  <si>
    <t>INTERNATIONAL JOURNAL OF PSYCHOANALYSIS</t>
  </si>
  <si>
    <t>INT J PSYCHOL</t>
  </si>
  <si>
    <t>INTERNATIONAL JOURNAL OF PSYCHOLOGY</t>
  </si>
  <si>
    <t>INT J PUBLIC HEALTH</t>
  </si>
  <si>
    <t>International Journal of Public Health</t>
  </si>
  <si>
    <t>INT J REHABIL RES</t>
  </si>
  <si>
    <t>INTERNATIONAL JOURNAL OF REHABILITATION RESEARCH</t>
  </si>
  <si>
    <t>INT J RF MICROW C E</t>
  </si>
  <si>
    <t>INTERNATIONAL JOURNAL OF RF AND MICROWAVE COMPUTER-AIDED ENGINEERING</t>
  </si>
  <si>
    <t>INT J SELECT ASSESS</t>
  </si>
  <si>
    <t>INTERNATIONAL JOURNAL OF SELECTION AND ASSESSMENT</t>
  </si>
  <si>
    <t>INT J SOC PSYCHIATR</t>
  </si>
  <si>
    <t>INTERNATIONAL JOURNAL OF SOCIAL PSYCHIATRY</t>
  </si>
  <si>
    <t>INT J STROKE</t>
  </si>
  <si>
    <t>International Journal of Stroke</t>
  </si>
  <si>
    <t>INT J STRUCT STAB DY</t>
  </si>
  <si>
    <t>International Journal of Structural Stability and Dynamics</t>
  </si>
  <si>
    <t>INT MIGR</t>
  </si>
  <si>
    <t>INTERNATIONAL MIGRATION</t>
  </si>
  <si>
    <t>INT MIGR REV</t>
  </si>
  <si>
    <t>INTERNATIONAL MIGRATION REVIEW</t>
  </si>
  <si>
    <t>INT NURS REV</t>
  </si>
  <si>
    <t>INTERNATIONAL NURSING REVIEW</t>
  </si>
  <si>
    <t>INT REV PSYCHIATR</t>
  </si>
  <si>
    <t>INTERNATIONAL REVIEW OF PSYCHIATRY</t>
  </si>
  <si>
    <t>INTEGR CANCER THER</t>
  </si>
  <si>
    <t>INTEGRATIVE CANCER THERAPIES</t>
  </si>
  <si>
    <t>INTEGR COMPUT-AID E</t>
  </si>
  <si>
    <t>INTEGRATED COMPUTER-AIDED ENGINEERING</t>
  </si>
  <si>
    <t>INTEGR PSYCHOL BEHAV</t>
  </si>
  <si>
    <t>Integrative Psychological and Behavioral Science</t>
  </si>
  <si>
    <t>INTELLECT DEV DISAB</t>
  </si>
  <si>
    <t>Intellectual and Developmental Disabilities</t>
  </si>
  <si>
    <t>INTELLIGENCE</t>
  </si>
  <si>
    <t>INTERN EMERG MED</t>
  </si>
  <si>
    <t>Internal and Emergency Medicine</t>
  </si>
  <si>
    <t>IRAN J ALLERGY ASTHM</t>
  </si>
  <si>
    <t>Iranian Journal of Allergy Asthma and Immunology</t>
  </si>
  <si>
    <t>IRAN J PEDIATR</t>
  </si>
  <si>
    <t>Iranian Journal of Pediatrics</t>
  </si>
  <si>
    <t>IRAN J PHARM RES</t>
  </si>
  <si>
    <t>Iranian Journal of Pharmaceutical Research</t>
  </si>
  <si>
    <t>IRAN J PUBLIC HEALTH</t>
  </si>
  <si>
    <t>Iranian Journal of Public Health</t>
  </si>
  <si>
    <t>IRAN RED CRESCENT ME</t>
  </si>
  <si>
    <t>Iranian Red Crescent Medical Journal</t>
  </si>
  <si>
    <t>ISR J PSYCHIATR REL</t>
  </si>
  <si>
    <t>ISRAEL JOURNAL OF PSYCHIATRY AND RELATED SCIENCES</t>
  </si>
  <si>
    <t>ISR J VET MED</t>
  </si>
  <si>
    <t>ISRAEL JOURNAL OF VETERINARY MEDICINE</t>
  </si>
  <si>
    <t>ISR MED ASSOC J</t>
  </si>
  <si>
    <t>J ABNORM CHILD PSYCH</t>
  </si>
  <si>
    <t>JOURNAL OF ABNORMAL CHILD PSYCHOLOGY</t>
  </si>
  <si>
    <t>J ABNORM PSYCHOL</t>
  </si>
  <si>
    <t>JOURNAL OF ABNORMAL PSYCHOLOGY</t>
  </si>
  <si>
    <t>J ACAD LIBR</t>
  </si>
  <si>
    <t>JOURNAL OF ACADEMIC LIBRARIANSHIP</t>
  </si>
  <si>
    <t>J ADDICT DIS</t>
  </si>
  <si>
    <t>JOURNAL OF ADDICTIVE DISEASES</t>
  </si>
  <si>
    <t>J ADDICT MED</t>
  </si>
  <si>
    <t>Journal of Addiction Medicine</t>
  </si>
  <si>
    <t>J ADDICT NURS</t>
  </si>
  <si>
    <t>Journal of Addictions Nursing</t>
  </si>
  <si>
    <t>J ADOLESCENCE</t>
  </si>
  <si>
    <t>JOURNAL OF ADOLESCENCE</t>
  </si>
  <si>
    <t>J ADOLESCENT RES</t>
  </si>
  <si>
    <t>JOURNAL OF ADOLESCENT RESEARCH</t>
  </si>
  <si>
    <t>J ADULT DEV</t>
  </si>
  <si>
    <t>JOURNAL OF ADULT DEVELOPMENT</t>
  </si>
  <si>
    <t>J AEROSOL MED PULM D</t>
  </si>
  <si>
    <t>Journal of Aerosol Medicine and Pulmonary Drug Delivery</t>
  </si>
  <si>
    <t>J AGING HEALTH</t>
  </si>
  <si>
    <t>JOURNAL OF AGING AND HEALTH</t>
  </si>
  <si>
    <t>J AM ACAD AUDIOL</t>
  </si>
  <si>
    <t>Journal of the American Academy of Audiology</t>
  </si>
  <si>
    <t>J AM ACAD PSYCHIATRY</t>
  </si>
  <si>
    <t>JOURNAL OF THE AMERICAN ACADEMY OF PSYCHIATRY AND THE LAW</t>
  </si>
  <si>
    <t>J AM COLL HEALTH</t>
  </si>
  <si>
    <t>JOURNAL OF AMERICAN COLLEGE HEALTH</t>
  </si>
  <si>
    <t>J AM MED DIR ASSOC</t>
  </si>
  <si>
    <t>Journal of the American Medical Directors Association</t>
  </si>
  <si>
    <t>J AM PHARM ASSOC</t>
  </si>
  <si>
    <t>JOURNAL OF THE AMERICAN PHARMACISTS ASSOCIATION</t>
  </si>
  <si>
    <t>J AM PSYCHOANAL ASS</t>
  </si>
  <si>
    <t>JOURNAL OF THE AMERICAN PSYCHOANALYTIC ASSOCIATION</t>
  </si>
  <si>
    <t>J ANESTH</t>
  </si>
  <si>
    <t>Journal of Anesthesia</t>
  </si>
  <si>
    <t>J ANXIETY DISORD</t>
  </si>
  <si>
    <t>JOURNAL OF ANXIETY DISORDERS</t>
  </si>
  <si>
    <t>J APPL ANIM WELF SCI</t>
  </si>
  <si>
    <t>JOURNAL OF APPLIED ANIMAL WELFARE SCIENCE</t>
  </si>
  <si>
    <t>J APPL BEHAV ANAL</t>
  </si>
  <si>
    <t>JOURNAL OF APPLIED BEHAVIOR ANALYSIS</t>
  </si>
  <si>
    <t>J APPL CLIN MED PHYS</t>
  </si>
  <si>
    <t>Journal of Applied Clinical Medical Physics</t>
  </si>
  <si>
    <t>J APPL DEV PSYCHOL</t>
  </si>
  <si>
    <t>JOURNAL OF APPLIED DEVELOPMENTAL PSYCHOLOGY</t>
  </si>
  <si>
    <t>J APPL GENET</t>
  </si>
  <si>
    <t>JOURNAL OF APPLIED GENETICS</t>
  </si>
  <si>
    <t>J APPL ORAL SCI</t>
  </si>
  <si>
    <t>Journal of Applied Oral Science</t>
  </si>
  <si>
    <t>J APPL PSYCHOL</t>
  </si>
  <si>
    <t>JOURNAL OF APPLIED PSYCHOLOGY</t>
  </si>
  <si>
    <t>J APPL RES INTELLECT</t>
  </si>
  <si>
    <t>JOURNAL OF APPLIED RESEARCH IN INTELLECTUAL DISABILITIES</t>
  </si>
  <si>
    <t>J APPL SOC PSYCHOL</t>
  </si>
  <si>
    <t>JOURNAL OF APPLIED SOCIAL PSYCHOLOGY</t>
  </si>
  <si>
    <t>J ARTIF ORGANS</t>
  </si>
  <si>
    <t>JOURNAL OF ARTIFICIAL ORGANS</t>
  </si>
  <si>
    <t>J ATHEROSCLER THROMB</t>
  </si>
  <si>
    <t>Journal of Atherosclerosis and Thrombosis</t>
  </si>
  <si>
    <t>J AUTISM DEV DISORD</t>
  </si>
  <si>
    <t>JOURNAL OF AUTISM AND DEVELOPMENTAL DISORDERS</t>
  </si>
  <si>
    <t>J BEHAV DECIS MAKING</t>
  </si>
  <si>
    <t>JOURNAL OF BEHAVIORAL DECISION MAKING</t>
  </si>
  <si>
    <t>J BEHAV HEALTH SER R</t>
  </si>
  <si>
    <t>JOURNAL OF BEHAVIORAL HEALTH SERVICES &amp; RESEARCH</t>
  </si>
  <si>
    <t>J BEHAV MED</t>
  </si>
  <si>
    <t>JOURNAL OF BEHAVIORAL MEDICINE</t>
  </si>
  <si>
    <t>J BEHAV THER EXP PSY</t>
  </si>
  <si>
    <t>JOURNAL OF BEHAVIOR THERAPY AND EXPERIMENTAL PSYCHIATRY</t>
  </si>
  <si>
    <t>J BIOETHIC INQ</t>
  </si>
  <si>
    <t>Journal of Bioethical Inquiry</t>
  </si>
  <si>
    <t>J BIOL RES-THESSALON</t>
  </si>
  <si>
    <t>Journal of Biological Research-Thessaloniki</t>
  </si>
  <si>
    <t>J BIOMED NANOTECHNOL</t>
  </si>
  <si>
    <t>Journal of Biomedical Nanotechnology</t>
  </si>
  <si>
    <t>J BIOPHARM STAT</t>
  </si>
  <si>
    <t>Journal of Biopharmaceutical Statistics</t>
  </si>
  <si>
    <t>J BIOPHOTONICS</t>
  </si>
  <si>
    <t>Journal of Biophotonics</t>
  </si>
  <si>
    <t>J BIOSOC SCI</t>
  </si>
  <si>
    <t>JOURNAL OF BIOSOCIAL SCIENCE</t>
  </si>
  <si>
    <t>J BLACK PSYCHOL</t>
  </si>
  <si>
    <t>Journal of Black Psychology</t>
  </si>
  <si>
    <t>J BLACK STUD</t>
  </si>
  <si>
    <t>JOURNAL OF BLACK STUDIES</t>
  </si>
  <si>
    <t>Journal of Breast Cancer</t>
  </si>
  <si>
    <t>J BUON</t>
  </si>
  <si>
    <t>Journal of BUON</t>
  </si>
  <si>
    <t>J BUS PSYCHOL</t>
  </si>
  <si>
    <t>JOURNAL OF BUSINESS AND PSYCHOLOGY</t>
  </si>
  <si>
    <t>J CAN DENT ASSOC</t>
  </si>
  <si>
    <t>JOURNAL OF THE CANADIAN DENTAL ASSOCIATION</t>
  </si>
  <si>
    <t>J CARDIOPULM REHABIL</t>
  </si>
  <si>
    <t>Journal of Cardiopulmonary Rehabilitation and Prevention</t>
  </si>
  <si>
    <t>J CARDIOTHORAC SURG</t>
  </si>
  <si>
    <t>Journal of Cardiothoracic Surgery</t>
  </si>
  <si>
    <t>J CARDIOVASC MED</t>
  </si>
  <si>
    <t>Journal of Cardiovascular Medicine</t>
  </si>
  <si>
    <t>J CARDIOVASC NURS</t>
  </si>
  <si>
    <t>Journal of Cardiovascular Nursing</t>
  </si>
  <si>
    <t>J CAREER ASSESSMENT</t>
  </si>
  <si>
    <t>JOURNAL OF CAREER ASSESSMENT</t>
  </si>
  <si>
    <t>J CAREER DEV</t>
  </si>
  <si>
    <t>JOURNAL OF CAREER DEVELOPMENT</t>
  </si>
  <si>
    <t>J CHILD ADOLES SUBST</t>
  </si>
  <si>
    <t>JOURNAL OF CHILD &amp; ADOLESCENT SUBSTANCE ABUSE</t>
  </si>
  <si>
    <t>J CHILD LANG</t>
  </si>
  <si>
    <t>JOURNAL OF CHILD LANGUAGE</t>
  </si>
  <si>
    <t>J CHILD PSYCHOL PSYC</t>
  </si>
  <si>
    <t>JOURNAL OF CHILD PSYCHOLOGY AND PSYCHIATRY</t>
  </si>
  <si>
    <t>J CLASSIF</t>
  </si>
  <si>
    <t>JOURNAL OF CLASSIFICATION</t>
  </si>
  <si>
    <t>J CLIN CHILD ADOLESC</t>
  </si>
  <si>
    <t>JOURNAL OF CLINICAL CHILD AND ADOLESCENT PSYCHOLOGY</t>
  </si>
  <si>
    <t>JOURNAL OF CLINICAL ENDOCRINOLOGY &amp; METABOLISM</t>
  </si>
  <si>
    <t>J CLIN LIPIDOL</t>
  </si>
  <si>
    <t>Journal of Clinical Lipidology</t>
  </si>
  <si>
    <t>J CLIN NEUROL</t>
  </si>
  <si>
    <t>Journal of Clinical Neurology</t>
  </si>
  <si>
    <t>J CLIN PSYCHOL</t>
  </si>
  <si>
    <t>JOURNAL OF CLINICAL PSYCHOLOGY</t>
  </si>
  <si>
    <t>J CLIN PSYCHOL MED S</t>
  </si>
  <si>
    <t>JOURNAL OF CLINICAL PSYCHOLOGY IN MEDICAL SETTINGS</t>
  </si>
  <si>
    <t>J COLL STUDENT DEV</t>
  </si>
  <si>
    <t>JOURNAL OF COLLEGE STUDENT DEVELOPMENT</t>
  </si>
  <si>
    <t>J COMB OPTIM</t>
  </si>
  <si>
    <t>JOURNAL OF COMBINATORIAL OPTIMIZATION</t>
  </si>
  <si>
    <t>J COMMUN DISORD</t>
  </si>
  <si>
    <t>JOURNAL OF COMMUNICATION DISORDERS</t>
  </si>
  <si>
    <t>J COMMUN HEALTH</t>
  </si>
  <si>
    <t>JOURNAL OF COMMUNITY HEALTH</t>
  </si>
  <si>
    <t>J COMMUN HEALTH NURS</t>
  </si>
  <si>
    <t>Journal of Community Health Nursing</t>
  </si>
  <si>
    <t>J COMMUNITY APPL SOC</t>
  </si>
  <si>
    <t>JOURNAL OF COMMUNITY &amp; APPLIED SOCIAL PSYCHOLOGY</t>
  </si>
  <si>
    <t>J COMMUNITY PSYCHOL</t>
  </si>
  <si>
    <t>JOURNAL OF COMMUNITY PSYCHOLOGY</t>
  </si>
  <si>
    <t>J COMPUT CIVIL ENG</t>
  </si>
  <si>
    <t>JOURNAL OF COMPUTING IN CIVIL ENGINEERING</t>
  </si>
  <si>
    <t>J COMPUT INF SCI ENG</t>
  </si>
  <si>
    <t>JOURNAL OF COMPUTING AND INFORMATION SCIENCE IN ENGINEERING</t>
  </si>
  <si>
    <t>J COMPUT PHYS</t>
  </si>
  <si>
    <t>JOURNAL OF COMPUTATIONAL PHYSICS</t>
  </si>
  <si>
    <t>J COMPUT-MEDIAT COMM</t>
  </si>
  <si>
    <t>Journal of Computer-Mediated Communication</t>
  </si>
  <si>
    <t>J CONSCIOUSNESS STUD</t>
  </si>
  <si>
    <t>JOURNAL OF CONSCIOUSNESS STUDIES</t>
  </si>
  <si>
    <t>J CONSTR PSYCHOL</t>
  </si>
  <si>
    <t>JOURNAL OF CONSTRUCTIVIST PSYCHOLOGY</t>
  </si>
  <si>
    <t>J CONSULT CLIN PSYCH</t>
  </si>
  <si>
    <t>JOURNAL OF CONSULTING AND CLINICAL PSYCHOLOGY</t>
  </si>
  <si>
    <t>J CONSUM PSYCHOL</t>
  </si>
  <si>
    <t>JOURNAL OF CONSUMER PSYCHOLOGY</t>
  </si>
  <si>
    <t>J CONTIN EDUC HEALTH</t>
  </si>
  <si>
    <t>JOURNAL OF CONTINUING EDUCATION IN THE HEALTH PROFESSIONS</t>
  </si>
  <si>
    <t>J COUNS DEV</t>
  </si>
  <si>
    <t>JOURNAL OF COUNSELING AND DEVELOPMENT</t>
  </si>
  <si>
    <t>J COUNS PSYCHOL</t>
  </si>
  <si>
    <t>JOURNAL OF COUNSELING PSYCHOLOGY</t>
  </si>
  <si>
    <t>J CROHNS COLITIS</t>
  </si>
  <si>
    <t>Journal of Crohns &amp; Colitis</t>
  </si>
  <si>
    <t>J CROSS CULT PSYCHOL</t>
  </si>
  <si>
    <t>JOURNAL OF CROSS-CULTURAL PSYCHOLOGY</t>
  </si>
  <si>
    <t>J CULT HERIT</t>
  </si>
  <si>
    <t>JOURNAL OF CULTURAL HERITAGE</t>
  </si>
  <si>
    <t>J CYST FIBROS</t>
  </si>
  <si>
    <t>Journal of Cystic Fibrosis</t>
  </si>
  <si>
    <t>J DEAF STUD DEAF EDU</t>
  </si>
  <si>
    <t>Journal of Deaf Studies and Deaf Education</t>
  </si>
  <si>
    <t>J DENT EDUC</t>
  </si>
  <si>
    <t>JOURNAL OF DENTAL EDUCATION</t>
  </si>
  <si>
    <t>J DENT SCI</t>
  </si>
  <si>
    <t>Journal of Dental Sciences</t>
  </si>
  <si>
    <t>J DERMATOL TREAT</t>
  </si>
  <si>
    <t>JOURNAL OF DERMATOLOGICAL TREATMENT</t>
  </si>
  <si>
    <t>J DEV PHYS DISABIL</t>
  </si>
  <si>
    <t>JOURNAL OF DEVELOPMENTAL AND PHYSICAL DISABILITIES</t>
  </si>
  <si>
    <t>J DIGEST DIS</t>
  </si>
  <si>
    <t>Journal of Digestive Diseases</t>
  </si>
  <si>
    <t>J DOC</t>
  </si>
  <si>
    <t>JOURNAL OF DOCUMENTATION</t>
  </si>
  <si>
    <t>J DRUG ISSUES</t>
  </si>
  <si>
    <t>JOURNAL OF DRUG ISSUES</t>
  </si>
  <si>
    <t>J EARLY ADOLESCENCE</t>
  </si>
  <si>
    <t>JOURNAL OF EARLY ADOLESCENCE</t>
  </si>
  <si>
    <t>J EARLY INTERVENTION</t>
  </si>
  <si>
    <t>JOURNAL OF EARLY INTERVENTION</t>
  </si>
  <si>
    <t>J ECON PSYCHOL</t>
  </si>
  <si>
    <t>JOURNAL OF ECONOMIC PSYCHOLOGY</t>
  </si>
  <si>
    <t>J EDUC MEAS</t>
  </si>
  <si>
    <t>JOURNAL OF EDUCATIONAL MEASUREMENT</t>
  </si>
  <si>
    <t>J EDUC PSYCHOL</t>
  </si>
  <si>
    <t>JOURNAL OF EDUCATIONAL PSYCHOLOGY</t>
  </si>
  <si>
    <t>J EDUC PSYCHOL CONS</t>
  </si>
  <si>
    <t>JOURNAL OF EDUCATIONAL AND PSYCHOLOGICAL CONSULTATION</t>
  </si>
  <si>
    <t>J EMERG NURS</t>
  </si>
  <si>
    <t>Journal of Emergency Nursing</t>
  </si>
  <si>
    <t>J EMOT BEHAV DISORD</t>
  </si>
  <si>
    <t>JOURNAL OF EMOTIONAL AND BEHAVIORAL DISORDERS</t>
  </si>
  <si>
    <t>J EMPIR RES HUM RES</t>
  </si>
  <si>
    <t>Journal of Empirical Research on Human Research Ethics</t>
  </si>
  <si>
    <t>J EMPLOYMENT COUNS</t>
  </si>
  <si>
    <t>JOURNAL OF EMPLOYMENT COUNSELING</t>
  </si>
  <si>
    <t>J ENVIRON PSYCHOL</t>
  </si>
  <si>
    <t>JOURNAL OF ENVIRONMENTAL PSYCHOLOGY</t>
  </si>
  <si>
    <t>J ESTHET RESTOR DENT</t>
  </si>
  <si>
    <t>Journal of Esthetic and Restorative Dentistry</t>
  </si>
  <si>
    <t>J ETHN MIGR STUD</t>
  </si>
  <si>
    <t>JOURNAL OF ETHNIC AND MIGRATION STUDIES</t>
  </si>
  <si>
    <t>J EXERC SCI FIT</t>
  </si>
  <si>
    <t>Journal of Exercise Science &amp; Fitness</t>
  </si>
  <si>
    <t>J EXOT PET MED</t>
  </si>
  <si>
    <t>Journal of Exotic Pet Medicine</t>
  </si>
  <si>
    <t>J EXP ANAL BEHAV</t>
  </si>
  <si>
    <t>JOURNAL OF THE EXPERIMENTAL ANALYSIS OF BEHAVIOR</t>
  </si>
  <si>
    <t>J EXP CHILD PSYCHOL</t>
  </si>
  <si>
    <t>JOURNAL OF EXPERIMENTAL CHILD PSYCHOLOGY</t>
  </si>
  <si>
    <t>J EXP EDUC</t>
  </si>
  <si>
    <t>JOURNAL OF EXPERIMENTAL EDUCATION</t>
  </si>
  <si>
    <t>J EXP NANOSCI</t>
  </si>
  <si>
    <t>Journal of Experimental Nanoscience</t>
  </si>
  <si>
    <t>J EXP PSYCHOL GEN</t>
  </si>
  <si>
    <t>JOURNAL OF EXPERIMENTAL PSYCHOLOGY-GENERAL</t>
  </si>
  <si>
    <t>J EXP PSYCHOL-APPL</t>
  </si>
  <si>
    <t>JOURNAL OF EXPERIMENTAL PSYCHOLOGY-APPLIED</t>
  </si>
  <si>
    <t>J EXP SOC PSYCHOL</t>
  </si>
  <si>
    <t>JOURNAL OF EXPERIMENTAL SOCIAL PSYCHOLOGY</t>
  </si>
  <si>
    <t>J EXP ZOOL PART B</t>
  </si>
  <si>
    <t>J FAM NURS</t>
  </si>
  <si>
    <t>Journal of Family Nursing</t>
  </si>
  <si>
    <t>J FAM PSYCHOL</t>
  </si>
  <si>
    <t>JOURNAL OF FAMILY PSYCHOLOGY</t>
  </si>
  <si>
    <t>J FAM THER</t>
  </si>
  <si>
    <t>JOURNAL OF FAMILY THERAPY</t>
  </si>
  <si>
    <t>J FAM VIOLENCE</t>
  </si>
  <si>
    <t>JOURNAL OF FAMILY VIOLENCE</t>
  </si>
  <si>
    <t>J FLUENCY DISORD</t>
  </si>
  <si>
    <t>AIDS BEHAV</t>
  </si>
  <si>
    <t>AIDS AND BEHAVIOR</t>
  </si>
  <si>
    <t>AIDS CARE</t>
  </si>
  <si>
    <t>AIDS CARE-PSYCHOLOGICAL AND SOCIO-MEDICAL ASPECTS OF AIDS/HIV</t>
  </si>
  <si>
    <t>AIDS EDUC PREV</t>
  </si>
  <si>
    <t>AIDS EDUCATION AND PREVENTION</t>
  </si>
  <si>
    <t>AJAR-AFR J AIDS RES</t>
  </si>
  <si>
    <t>AJAR-African Journal of AIDS Research</t>
  </si>
  <si>
    <t>ALCOHOL ALCOHOLISM</t>
  </si>
  <si>
    <t>ALCOHOL AND ALCOHOLISM</t>
  </si>
  <si>
    <t>ALCOHOL CLIN EXP RES</t>
  </si>
  <si>
    <t>ALCOHOLISM-CLINICAL AND EXPERIMENTAL RESEARCH</t>
  </si>
  <si>
    <t>ALGORITHM MOL BIOL</t>
  </si>
  <si>
    <t>Algorithms for Molecular Biology</t>
  </si>
  <si>
    <t>ALIMENT PHARM THER</t>
  </si>
  <si>
    <t>ALLERGOL IMMUNOPATH</t>
  </si>
  <si>
    <t>ALLERGOLOGIA ET IMMUNOPATHOLOGIA</t>
  </si>
  <si>
    <t>ALZHEIMERS DEMENT</t>
  </si>
  <si>
    <t>Alzheimers &amp; Dementia</t>
  </si>
  <si>
    <t>AM ANN DEAF</t>
  </si>
  <si>
    <t>AMERICAN ANNALS OF THE DEAF</t>
  </si>
  <si>
    <t>AM BEHAV SCI</t>
  </si>
  <si>
    <t>AMERICAN BEHAVIORAL SCIENTIST</t>
  </si>
  <si>
    <t>AM INDIAN ALASKA NAT</t>
  </si>
  <si>
    <t>AMERICAN INDIAN AND ALASKA NATIVE MENTAL HEALTH RESEARCH</t>
  </si>
  <si>
    <t>AM J ADDICTION</t>
  </si>
  <si>
    <t>AMERICAN JOURNAL ON ADDICTIONS</t>
  </si>
  <si>
    <t>AM J CARDIOVASC DRUG</t>
  </si>
  <si>
    <t>American Journal of Cardiovascular Drugs</t>
  </si>
  <si>
    <t>AM J COMMUN PSYCHOL</t>
  </si>
  <si>
    <t>AMERICAN JOURNAL OF COMMUNITY PSYCHOLOGY</t>
  </si>
  <si>
    <t>AM J DRUG ALCOHOL AB</t>
  </si>
  <si>
    <t>AMERICAN JOURNAL OF DRUG AND ALCOHOL ABUSE</t>
  </si>
  <si>
    <t>AM J EVAL</t>
  </si>
  <si>
    <t>AMERICAN JOURNAL OF EVALUATION</t>
  </si>
  <si>
    <t>AM J FAM THER</t>
  </si>
  <si>
    <t>AMERICAN JOURNAL OF FAMILY THERAPY</t>
  </si>
  <si>
    <t>AM J HEALTH BEHAV</t>
  </si>
  <si>
    <t>AMERICAN JOURNAL OF HEALTH BEHAVIOR</t>
  </si>
  <si>
    <t>AM J HEALTH PROMOT</t>
  </si>
  <si>
    <t>AMERICAN JOURNAL OF HEALTH PROMOTION</t>
  </si>
  <si>
    <t>AM J OCCUP THER</t>
  </si>
  <si>
    <t>AMERICAN JOURNAL OF OCCUPATIONAL THERAPY</t>
  </si>
  <si>
    <t>AM J PSYCHOL</t>
  </si>
  <si>
    <t>AMERICAN JOURNAL OF PSYCHOLOGY</t>
  </si>
  <si>
    <t>AM J RHINOL ALLERGY</t>
  </si>
  <si>
    <t>AM J SPEECH-LANG PAT</t>
  </si>
  <si>
    <t>AMERICAN JOURNAL OF SPEECH-LANGUAGE PATHOLOGY</t>
  </si>
  <si>
    <t>AM PSYCHOL</t>
  </si>
  <si>
    <t>AMERICAN PSYCHOLOGIST</t>
  </si>
  <si>
    <t>AN PEDIATR</t>
  </si>
  <si>
    <t>ANALES DE PEDIATRIA</t>
  </si>
  <si>
    <t>AN PSICOL-SPAIN</t>
  </si>
  <si>
    <t>Anales de Psicologia</t>
  </si>
  <si>
    <t>AN SIST SANIT NAVAR</t>
  </si>
  <si>
    <t>Anales del Sistema Sanitario De Navarra</t>
  </si>
  <si>
    <t>ANATOMIA HISTOLOGIA EMBRYOLOGIA</t>
  </si>
  <si>
    <t>ANAT REC</t>
  </si>
  <si>
    <t>Anatomical Record-Advances in Integrative Anatomy and Evolutionary Biology</t>
  </si>
  <si>
    <t>ANAT SCI INT</t>
  </si>
  <si>
    <t>ANATOMICAL SCIENCE INTERNATIONAL</t>
  </si>
  <si>
    <t>ANIM CELLS SYST</t>
  </si>
  <si>
    <t>Animal Cells and Systems</t>
  </si>
  <si>
    <t>ANIMAL</t>
  </si>
  <si>
    <t>Animal</t>
  </si>
  <si>
    <t>ANN AM ACAD POLIT SS</t>
  </si>
  <si>
    <t>ANNALS OF THE AMERICAN ACADEMY OF POLITICAL AND SOCIAL SCIENCE</t>
  </si>
  <si>
    <t>ANN APPL STAT</t>
  </si>
  <si>
    <t>Annals of Applied Statistics</t>
  </si>
  <si>
    <t>ANN BEHAV MED</t>
  </si>
  <si>
    <t>ANNALS OF BEHAVIORAL MEDICINE</t>
  </si>
  <si>
    <t>ANN CARNEGIE MUS</t>
  </si>
  <si>
    <t>ANNALS OF CARNEGIE MUSEUM</t>
  </si>
  <si>
    <t>ANN CHIR PLAST ESTH</t>
  </si>
  <si>
    <t>Annales de Chirurgie Plastique Esthetique</t>
  </si>
  <si>
    <t>ANN DERMATOL</t>
  </si>
  <si>
    <t>Annals of Dermatology</t>
  </si>
  <si>
    <t>ANN DYSLEXIA</t>
  </si>
  <si>
    <t>ANNALS OF DYSLEXIA</t>
  </si>
  <si>
    <t>ANN HEPATOL</t>
  </si>
  <si>
    <t>Annals of Hepatology</t>
  </si>
  <si>
    <t>ANN ITAL CHIR</t>
  </si>
  <si>
    <t>Annali Italiani di Chirurgia</t>
  </si>
  <si>
    <t>ANN MED-PSYCHOL</t>
  </si>
  <si>
    <t>ANNALES MEDICO-PSYCHOLOGIQUES</t>
  </si>
  <si>
    <t>ANN PSYCHOL</t>
  </si>
  <si>
    <t>ANNEE PSYCHOLOGIQUE</t>
  </si>
  <si>
    <t>ANN TRANSPL</t>
  </si>
  <si>
    <t>Annals of Transplantation</t>
  </si>
  <si>
    <t>ANNU REV BIOPHYS</t>
  </si>
  <si>
    <t>Annual Review of Biophysics</t>
  </si>
  <si>
    <t>ANNU REV CLIN PSYCHO</t>
  </si>
  <si>
    <t>ANNU REV PATHOL-MECH</t>
  </si>
  <si>
    <t>Annual Review of Pathology-Mechanisms of Disease</t>
  </si>
  <si>
    <t>ANXIETY STRESS COPIN</t>
  </si>
  <si>
    <t>ANXIETY STRESS AND COPING</t>
  </si>
  <si>
    <t>APPL ALGEBR ENG COMM</t>
  </si>
  <si>
    <t>APPLICABLE ALGEBRA IN ENGINEERING COMMUNICATION AND COMPUTING</t>
  </si>
  <si>
    <t>APPL COGNITIVE PSYCH</t>
  </si>
  <si>
    <t>APPLIED COGNITIVE PSYCHOLOGY</t>
  </si>
  <si>
    <t>APPL MEAS EDUC</t>
  </si>
  <si>
    <t>APPLIED MEASUREMENT IN EDUCATION</t>
  </si>
  <si>
    <t>APPL PSYCH MEAS</t>
  </si>
  <si>
    <t>APPLIED PSYCHOLOGICAL MEASUREMENT</t>
  </si>
  <si>
    <t>APPL PSYCHOL-INT REV</t>
  </si>
  <si>
    <t>APPL PSYCHOLINGUIST</t>
  </si>
  <si>
    <t>APPLIED PSYCHOLINGUISTICS</t>
  </si>
  <si>
    <t>APPL PSYCHOPHYS BIOF</t>
  </si>
  <si>
    <t>APPLIED PSYCHOPHYSIOLOGY AND BIOFEEDBACK</t>
  </si>
  <si>
    <t>APPL SOFT COMPUT</t>
  </si>
  <si>
    <t>APPLIED SOFT COMPUTING</t>
  </si>
  <si>
    <t>AQUAT MICROB ECOL</t>
  </si>
  <si>
    <t>AQUATIC MICROBIAL ECOLOGY</t>
  </si>
  <si>
    <t>ARCH ACOUST</t>
  </si>
  <si>
    <t>Archives of Acoustics</t>
  </si>
  <si>
    <t>ARCH BIOL SCI</t>
  </si>
  <si>
    <t>Archives of Biological Sciences</t>
  </si>
  <si>
    <t>ARCH CARDIOVASC DIS</t>
  </si>
  <si>
    <t>Archives of Cardiovascular Diseases</t>
  </si>
  <si>
    <t>ARCH COMPUT METHOD E</t>
  </si>
  <si>
    <t>ARCHIVES OF COMPUTATIONAL METHODS IN ENGINEERING</t>
  </si>
  <si>
    <t>ARCH DIS CHILDHOOD-E</t>
  </si>
  <si>
    <t>Archives of Disease in Childhood-Education and Practice Edition</t>
  </si>
  <si>
    <t>ARCH GYNECOL OBSTET</t>
  </si>
  <si>
    <t>ARCHIVES OF GYNECOLOGY AND OBSTETRICS</t>
  </si>
  <si>
    <t>ARCH IRAN MED</t>
  </si>
  <si>
    <t>Archives of Iranian Medicine</t>
  </si>
  <si>
    <t>ARCH MAL PROF ENVIRO</t>
  </si>
  <si>
    <t>Archives des Maladies Professionnelles et de l Environnement</t>
  </si>
  <si>
    <t>ARCH MED SCI</t>
  </si>
  <si>
    <t>Archives of Medical Science</t>
  </si>
  <si>
    <t>ARCH SEX BEHAV</t>
  </si>
  <si>
    <t>ARCHIVES OF SEXUAL BEHAVIOR</t>
  </si>
  <si>
    <t>ARCH WOMEN MENT HLTH</t>
  </si>
  <si>
    <t>Archives of Womens Mental Health</t>
  </si>
  <si>
    <t>ARQ BRAS CARDIOL</t>
  </si>
  <si>
    <t>Arquivos Brasileiros de Cardiologia</t>
  </si>
  <si>
    <t>ART PSYCHOTHER</t>
  </si>
  <si>
    <t>ARTS IN PSYCHOTHERAPY</t>
  </si>
  <si>
    <t>ASIA-PAC J CLIN ONCO</t>
  </si>
  <si>
    <t>Asia-Pacific Journal of Clinical Oncology</t>
  </si>
  <si>
    <t>ASIA-PAC J PUBLIC HE</t>
  </si>
  <si>
    <t>Asia-Pacific Journal of Public Health</t>
  </si>
  <si>
    <t>ASIAN BIOMED</t>
  </si>
  <si>
    <t>Asian Biomedicine</t>
  </si>
  <si>
    <t>ASIAN J SOC PSYCHOL</t>
  </si>
  <si>
    <t>ASIAN JOURNAL OF SOCIAL PSYCHOLOGY</t>
  </si>
  <si>
    <t>ASIAN J SURG</t>
  </si>
  <si>
    <t>Asian Journal of Surgery</t>
  </si>
  <si>
    <t>ASIAN J WOMEN STUD</t>
  </si>
  <si>
    <t>ASIAN JOURNAL OF WOMENS STUDIES</t>
  </si>
  <si>
    <t>ASSESSMENT</t>
  </si>
  <si>
    <t>ASSIST INFERM RIC</t>
  </si>
  <si>
    <t>Assistenza Infermieristica e Ricerca</t>
  </si>
  <si>
    <t>ASSIST TECHNOL</t>
  </si>
  <si>
    <t>ASSISTIVE TECHNOLOGY</t>
  </si>
  <si>
    <t>ASTA-ADV STAT ANAL</t>
  </si>
  <si>
    <t>AStA-Advances in Statistical Analysis</t>
  </si>
  <si>
    <t>ASTIN BULL</t>
  </si>
  <si>
    <t>Astin Bulletin</t>
  </si>
  <si>
    <t>ATEN PRIM</t>
  </si>
  <si>
    <t>Atencion Primaria</t>
  </si>
  <si>
    <t>ATTACH HUM DEV</t>
  </si>
  <si>
    <t>ATTACHMENT &amp; HUMAN DEVELOPMENT</t>
  </si>
  <si>
    <t>AUST FEMINIST STUD</t>
  </si>
  <si>
    <t>AUSTRALIAN FEMINIST STUDIES</t>
  </si>
  <si>
    <t>AUST HEALTH REV</t>
  </si>
  <si>
    <t>Australian Health Review</t>
  </si>
  <si>
    <t>AUST J ADV NURS</t>
  </si>
  <si>
    <t>Australian Journal of Advanced Nursing</t>
  </si>
  <si>
    <t>AUST J PRIM HEALTH</t>
  </si>
  <si>
    <t>Australian Journal of Primary Health</t>
  </si>
  <si>
    <t>AUST J PSYCHOL</t>
  </si>
  <si>
    <t>AUSTRALIAN JOURNAL OF PSYCHOLOGY</t>
  </si>
  <si>
    <t>AUST J RURAL HEALTH</t>
  </si>
  <si>
    <t>Australian Journal of Rural Health</t>
  </si>
  <si>
    <t>AUST OCCUP THER J</t>
  </si>
  <si>
    <t>Australian Occupational Therapy Journal</t>
  </si>
  <si>
    <t>AUST PSYCHOL</t>
  </si>
  <si>
    <t>AUSTRALIAN PSYCHOLOGIST</t>
  </si>
  <si>
    <t>AUSTRALAS J AGEING</t>
  </si>
  <si>
    <t>AUSTRALASIAN JOURNAL ON AGEING</t>
  </si>
  <si>
    <t>AUSTRALAS J DERMATOL</t>
  </si>
  <si>
    <t>AUSTRALASIAN JOURNAL OF DERMATOLOGY</t>
  </si>
  <si>
    <t>AUSTRALAS PHYS ENG S</t>
  </si>
  <si>
    <t>AUSTRALASIAN PHYSICAL &amp; ENGINEERING SCIENCES IN MEDICINE</t>
  </si>
  <si>
    <t>AUSTRALAS PSYCHIATRY</t>
  </si>
  <si>
    <t>Australasian Psychiatry</t>
  </si>
  <si>
    <t>AUTISM</t>
  </si>
  <si>
    <t>B KOREAN CHEM SOC</t>
  </si>
  <si>
    <t>B MENNINGER CLIN</t>
  </si>
  <si>
    <t>BULLETIN OF THE MENNINGER CLINIC</t>
  </si>
  <si>
    <t>BALK J MED GENET</t>
  </si>
  <si>
    <t>Balkan Journal of Medical Genetics</t>
  </si>
  <si>
    <t>BASIC APPL SOC PSYCH</t>
  </si>
  <si>
    <t>BASIC AND APPLIED SOCIAL PSYCHOLOGY</t>
  </si>
  <si>
    <t>BAYESIAN ANAL</t>
  </si>
  <si>
    <t>Bayesian Analysis</t>
  </si>
  <si>
    <t>BBA-GENE REGUL MECH</t>
  </si>
  <si>
    <t>Biochimica et Biophysica Acta-Gene Regulatory Mechanisms</t>
  </si>
  <si>
    <t>BEHAV CHANGE</t>
  </si>
  <si>
    <t>BEHAVIOUR CHANGE</t>
  </si>
  <si>
    <t>BEHAV COGN PSYCHOTH</t>
  </si>
  <si>
    <t>BEHAVIOURAL AND COGNITIVE PSYCHOTHERAPY</t>
  </si>
  <si>
    <t>BEHAV INTERVENT</t>
  </si>
  <si>
    <t>BEHAVIORAL INTERVENTIONS</t>
  </si>
  <si>
    <t>BEHAV MODIF</t>
  </si>
  <si>
    <t>BEHAVIOR MODIFICATION</t>
  </si>
  <si>
    <t>BEHAV PROCESS</t>
  </si>
  <si>
    <t>BEHAVIOURAL PROCESSES</t>
  </si>
  <si>
    <t>BEHAV RES METHODS</t>
  </si>
  <si>
    <t>Behavior Research Methods</t>
  </si>
  <si>
    <t>BEHAV RES THER</t>
  </si>
  <si>
    <t>BEHAVIOUR RESEARCH AND THERAPY</t>
  </si>
  <si>
    <t>BEHAV SCI LAW</t>
  </si>
  <si>
    <t>BEHAVIORAL SCIENCES &amp; THE LAW</t>
  </si>
  <si>
    <t>BEHAV THER</t>
  </si>
  <si>
    <t>BEHAVIOR THERAPY</t>
  </si>
  <si>
    <t>BILING-LANG COGN</t>
  </si>
  <si>
    <t>Bilingualism-Language and Cognition</t>
  </si>
  <si>
    <t>BIOCHEM MEDICA</t>
  </si>
  <si>
    <t>Biochemia Medica</t>
  </si>
  <si>
    <t>BIOCHIP J</t>
  </si>
  <si>
    <t>BioChip Journal</t>
  </si>
  <si>
    <t>BIOFUEL BIOPROD BIOR</t>
  </si>
  <si>
    <t>Biofuels Bioproducts &amp; Biorefining-Biofpr</t>
  </si>
  <si>
    <t>BIOINTERPHASES</t>
  </si>
  <si>
    <t>BIOL DIRECT</t>
  </si>
  <si>
    <t>Biology Direct</t>
  </si>
  <si>
    <t>BIOL LETTERS</t>
  </si>
  <si>
    <t>BIOL PROCED ONLINE</t>
  </si>
  <si>
    <t>BIOLOGICAL PROCEDURES ONLINE</t>
  </si>
  <si>
    <t>BIOL RES NURS</t>
  </si>
  <si>
    <t>Biological Research for Nursing</t>
  </si>
  <si>
    <t>BIOMARK MED</t>
  </si>
  <si>
    <t>Biomarkers in Medicine</t>
  </si>
  <si>
    <t>BIOMECH MODEL MECHAN</t>
  </si>
  <si>
    <t>Biomechanics and Modeling in Mechanobiology</t>
  </si>
  <si>
    <t>BIOMED ENG ONLINE</t>
  </si>
  <si>
    <t>Biomedical Engineering Online</t>
  </si>
  <si>
    <t>BIOMED MATER</t>
  </si>
  <si>
    <t>Biomedical Materials</t>
  </si>
  <si>
    <t>BIOMED SIGNAL PROCES</t>
  </si>
  <si>
    <t>Biomedical Signal Processing and Control</t>
  </si>
  <si>
    <t>BIOMEDICA</t>
  </si>
  <si>
    <t>BIOMICROFLUIDICS</t>
  </si>
  <si>
    <t>Biomicrofluidics</t>
  </si>
  <si>
    <t>BIOMOL NMR ASSIGN</t>
  </si>
  <si>
    <t>Biomolecular NMR Assignments</t>
  </si>
  <si>
    <t>BIOMOL THER</t>
  </si>
  <si>
    <t>Biomolecules &amp; Therapeutics</t>
  </si>
  <si>
    <t>BIOTECHNOL BIOFUELS</t>
  </si>
  <si>
    <t>Biotechnology for Biofuels</t>
  </si>
  <si>
    <t>BIOTECHNOL BIOTEC EQ</t>
  </si>
  <si>
    <t>BIOTECHNOLOGY &amp; BIOTECHNOLOGICAL EQUIPMENT</t>
  </si>
  <si>
    <t>BMB REP</t>
  </si>
  <si>
    <t>BMB Reports</t>
  </si>
  <si>
    <t>BMC BIOL</t>
  </si>
  <si>
    <t>BMC BIOLOGY</t>
  </si>
  <si>
    <t>BMC Family Practice</t>
  </si>
  <si>
    <t>BMC MED</t>
  </si>
  <si>
    <t>BMC Medicine</t>
  </si>
  <si>
    <t>BMC MED GENET</t>
  </si>
  <si>
    <t>BMC Medical Genetics</t>
  </si>
  <si>
    <t>BMC MED INFORM DECIS</t>
  </si>
  <si>
    <t>BMC Medical Informatics and Decision Making</t>
  </si>
  <si>
    <t>BMC NEUROL</t>
  </si>
  <si>
    <t>BMC Neurology</t>
  </si>
  <si>
    <t>BMC PSYCHIATRY</t>
  </si>
  <si>
    <t>BOSNIAN J BASIC MED</t>
  </si>
  <si>
    <t>Bosnian Journal of Basic Medical Sciences</t>
  </si>
  <si>
    <t>BRAIN IMAGING BEHAV</t>
  </si>
  <si>
    <t>Brain Imaging and Behavior</t>
  </si>
  <si>
    <t>BRAIN STIMUL</t>
  </si>
  <si>
    <t>Brain Stimulation</t>
  </si>
  <si>
    <t>BRAIN STRUCT FUNCT</t>
  </si>
  <si>
    <t>Brain Structure &amp; Function</t>
  </si>
  <si>
    <t>BRAIN TUMOR PATHOL</t>
  </si>
  <si>
    <t>Brain Tumor Pathology</t>
  </si>
  <si>
    <t>BRATISL MED J</t>
  </si>
  <si>
    <t>Bratislava Medical Journal-Bratislavske Lekarske Listy</t>
  </si>
  <si>
    <t>BRAZ J INFECT DIS</t>
  </si>
  <si>
    <t>Brazilian Journal of Infectious Diseases</t>
  </si>
  <si>
    <t>BREAST J</t>
  </si>
  <si>
    <t>Breast Journal</t>
  </si>
  <si>
    <t>BRIT J CLIN PSYCHOL</t>
  </si>
  <si>
    <t>BRITISH JOURNAL OF CLINICAL PSYCHOLOGY</t>
  </si>
  <si>
    <t>BRIT J DEV PSYCHOL</t>
  </si>
  <si>
    <t>BRITISH JOURNAL OF DEVELOPMENTAL PSYCHOLOGY</t>
  </si>
  <si>
    <t>BRIT J EDUC PSYCHOL</t>
  </si>
  <si>
    <t>BRITISH JOURNAL OF EDUCATIONAL PSYCHOLOGY</t>
  </si>
  <si>
    <t>BRIT J GUID COUNS</t>
  </si>
  <si>
    <t>BRITISH JOURNAL OF GUIDANCE &amp; COUNSELLING</t>
  </si>
  <si>
    <t>BRIT J HEALTH PSYCH</t>
  </si>
  <si>
    <t>BRITISH JOURNAL OF HEALTH PSYCHOLOGY</t>
  </si>
  <si>
    <t>BRIT J HIST SCI</t>
  </si>
  <si>
    <t>BRITISH JOURNAL FOR THE HISTORY OF SCIENCE</t>
  </si>
  <si>
    <t>BRIT J HOSP MED</t>
  </si>
  <si>
    <t>BRITISH JOURNAL OF HOSPITAL MEDICINE</t>
  </si>
  <si>
    <t>BRIT J PSYCHOL</t>
  </si>
  <si>
    <t>BRITISH JOURNAL OF PSYCHOLOGY</t>
  </si>
  <si>
    <t>BRIT J SOC PSYCHOL</t>
  </si>
  <si>
    <t>BRITISH JOURNAL OF SOCIAL PSYCHOLOGY</t>
  </si>
  <si>
    <t>BUNDESGESUNDHEITSBLA</t>
  </si>
  <si>
    <t>Bundesgesundheitsblatt-Gesundheitsforschung-Gesundheitsschutz</t>
  </si>
  <si>
    <t>Brachytherapy</t>
  </si>
  <si>
    <t>CAD SAUDE PUBLICA</t>
  </si>
  <si>
    <t>Cadernos de Saude Publica</t>
  </si>
  <si>
    <t>CAN J BEHAV SCI</t>
  </si>
  <si>
    <t>CAN J EXP PSYCHOL</t>
  </si>
  <si>
    <t>CAN J INFECT DIS MED</t>
  </si>
  <si>
    <t>Canadian Journal of Infectious Diseases &amp; Medical Microbiology</t>
  </si>
  <si>
    <t>CAN J INFORM LIB SCI</t>
  </si>
  <si>
    <t>CAN J PUBLIC HEALTH</t>
  </si>
  <si>
    <t>CANADIAN JOURNAL OF PUBLIC HEALTH-REVUE CANADIENNE DE SANTE PUBLIQUE</t>
  </si>
  <si>
    <t>CAN PSYCHOL</t>
  </si>
  <si>
    <t>CANADIAN PSYCHOLOGY-PSYCHOLOGIE CANADIENNE</t>
  </si>
  <si>
    <t>CAN RESPIR J</t>
  </si>
  <si>
    <t>Canadian Respiratory Journal</t>
  </si>
  <si>
    <t>CANCER PREV RES</t>
  </si>
  <si>
    <t>Cancer Prevention Research</t>
  </si>
  <si>
    <t>CANCER RADIOTHER</t>
  </si>
  <si>
    <t>Cancer Radiotherapie</t>
  </si>
  <si>
    <t>CANCER-AM CANCER SOC</t>
  </si>
  <si>
    <t>CANCER</t>
  </si>
  <si>
    <t>CARDIOVASC DIABETOL</t>
  </si>
  <si>
    <t>Cardiovascular Diabetology</t>
  </si>
  <si>
    <t>CARDIOVASC THER</t>
  </si>
  <si>
    <t>Cardiovascular Therapeutics</t>
  </si>
  <si>
    <t>CARDIOVASC TOXICOL</t>
  </si>
  <si>
    <t>Cardiovascular Toxicology</t>
  </si>
  <si>
    <t>CAREER DEV Q</t>
  </si>
  <si>
    <t>CAREER DEVELOPMENT QUARTERLY</t>
  </si>
  <si>
    <t>CELL HOST MICROBE</t>
  </si>
  <si>
    <t>Cell Host &amp; Microbe</t>
  </si>
  <si>
    <t>CELL MOL BIOENG</t>
  </si>
  <si>
    <t>Cellular and Molecular Bioengineering</t>
  </si>
  <si>
    <t>CELL MOL IMMUNOL</t>
  </si>
  <si>
    <t>Cellular &amp; Molecular Immunology</t>
  </si>
  <si>
    <t>CELL STEM CELL</t>
  </si>
  <si>
    <t>Cell Stem Cell</t>
  </si>
  <si>
    <t>CESK PSYCHOL</t>
  </si>
  <si>
    <t>CESKOSLOVENSKA PSYCHOLOGIE</t>
  </si>
  <si>
    <t>CHANNELS</t>
  </si>
  <si>
    <t>Channels</t>
  </si>
  <si>
    <t>CHEM CENT J</t>
  </si>
  <si>
    <t>Chemistry Central Journal</t>
  </si>
  <si>
    <t>CHEM HETEROCYCL COM+</t>
  </si>
  <si>
    <t>Chemistry of Heterocyclic Compounds</t>
  </si>
  <si>
    <t>CHEM-ASIAN J</t>
  </si>
  <si>
    <t>Chemistry-An Asian Journal</t>
  </si>
  <si>
    <t>CHEMIJA</t>
  </si>
  <si>
    <t>CHEMMEDCHEM</t>
  </si>
  <si>
    <t>ChemMedChem</t>
  </si>
  <si>
    <t>CHEMOSENS PERCEPT</t>
  </si>
  <si>
    <t>Chemosensory Perception</t>
  </si>
  <si>
    <t>CHEMSUSCHEM</t>
  </si>
  <si>
    <t>CHILD ABUSE NEGLECT</t>
  </si>
  <si>
    <t>CHILD ABUSE &amp; NEGLECT</t>
  </si>
  <si>
    <t>CHILD ADOL PSYCH CL</t>
  </si>
  <si>
    <t>CHILD AND ADOLESCENT PSYCHIATRIC CLINICS OF NORTH AMERICA</t>
  </si>
  <si>
    <t>CHILD DEV</t>
  </si>
  <si>
    <t>CHILD DEVELOPMENT</t>
  </si>
  <si>
    <t>CHILD FAM BEHAV THER</t>
  </si>
  <si>
    <t>CHILD &amp; FAMILY BEHAVIOR THERAPY</t>
  </si>
  <si>
    <t>CHILD HEALTH CARE</t>
  </si>
  <si>
    <t>CHILDRENS HEALTH CARE</t>
  </si>
  <si>
    <t>CHILDHOOD</t>
  </si>
  <si>
    <t>CHILDHOOD-A GLOBAL JOURNAL OF CHILD RESEARCH</t>
  </si>
  <si>
    <t>CHINESE J CANCER RES</t>
  </si>
  <si>
    <t>Chinese Journal of Cancer Research</t>
  </si>
  <si>
    <t>CIR CIR</t>
  </si>
  <si>
    <t>Cirugia y Cirujanos</t>
  </si>
  <si>
    <t>CIRC-ARRHYTHMIA ELEC</t>
  </si>
  <si>
    <t>Circulation-Arrhythmia and Electrophysiology</t>
  </si>
  <si>
    <t>CIRC-CARDIOVASC IMAG</t>
  </si>
  <si>
    <t>Circulation-Cardiovascular Imaging</t>
  </si>
  <si>
    <t>CIRC-HEART FAIL</t>
  </si>
  <si>
    <t>Circulation-Heart Failure</t>
  </si>
  <si>
    <t>CLIN BREAST CANCER</t>
  </si>
  <si>
    <t>Clinical Breast Cancer</t>
  </si>
  <si>
    <t>CLIN CHILD FAM PSYCH</t>
  </si>
  <si>
    <t>CLINICAL CHILD AND FAMILY PSYCHOLOGY REVIEW</t>
  </si>
  <si>
    <t>CLIN COLORECTAL CANC</t>
  </si>
  <si>
    <t>Clinical Colorectal Cancer</t>
  </si>
  <si>
    <t>CLIN EXP OBSTET GYN</t>
  </si>
  <si>
    <t>Clinical and Experimental Obstetrics &amp; Gynecology</t>
  </si>
  <si>
    <t>CLIN EXP OPTOM</t>
  </si>
  <si>
    <t>Clinical and Experimental Optometry</t>
  </si>
  <si>
    <t>CLIN EXP OTORHINOLAR</t>
  </si>
  <si>
    <t>Clinical and Experimental Otorhinolaryngology</t>
  </si>
  <si>
    <t>CLIN GASTROENTEROL H</t>
  </si>
  <si>
    <t>Clinical Gastroenterology and Hepatology</t>
  </si>
  <si>
    <t>CLIN GENITOURIN CANC</t>
  </si>
  <si>
    <t>Clinical Genitourinary Cancer</t>
  </si>
  <si>
    <t>CLIN IMPLANT DENT R</t>
  </si>
  <si>
    <t>Clinical Implant Dentistry and Related Research</t>
  </si>
  <si>
    <t>CLIN LAB</t>
  </si>
  <si>
    <t>Clinical Laboratory</t>
  </si>
  <si>
    <t>CLIN LINGUIST PHONET</t>
  </si>
  <si>
    <t>CLINICAL LINGUISTICS &amp; PHONETICS</t>
  </si>
  <si>
    <t>CLIN LUNG CANCER</t>
  </si>
  <si>
    <t>Clinical Lung Cancer</t>
  </si>
  <si>
    <t>CLIN NURSE SPEC</t>
  </si>
  <si>
    <t>Clinical Nurse Specialist</t>
  </si>
  <si>
    <t>CLIN ORAL INVEST</t>
  </si>
  <si>
    <t>Clinical Oral Investigations</t>
  </si>
  <si>
    <t>CLIN OTOLARYNGOL</t>
  </si>
  <si>
    <t>CLIN PSYCHOL PSYCHOT</t>
  </si>
  <si>
    <t>CLINICAL PSYCHOLOGY &amp; PSYCHOTHERAPY</t>
  </si>
  <si>
    <t>CLIN PSYCHOL REV</t>
  </si>
  <si>
    <t>CLINICAL PSYCHOLOGY REVIEW</t>
  </si>
  <si>
    <t>CLIN PSYCHOL-SCI PR</t>
  </si>
  <si>
    <t>CLINICAL PSYCHOLOGY-SCIENCE AND PRACTICE</t>
  </si>
  <si>
    <t>CLIN RESPIR J</t>
  </si>
  <si>
    <t>Clinical Respiratory Journal</t>
  </si>
  <si>
    <t>CLIN TOXICOL</t>
  </si>
  <si>
    <t>CLINICAL TOXICOLOGY</t>
  </si>
  <si>
    <t>CLIN TRANSL ONCOL</t>
  </si>
  <si>
    <t>Clinical &amp; Translational Oncology</t>
  </si>
  <si>
    <t>CLIN TRIALS</t>
  </si>
  <si>
    <t>Clinical Trials</t>
  </si>
  <si>
    <t>CLINICS</t>
  </si>
  <si>
    <t>CNS NEUROL DISORD-DR</t>
  </si>
  <si>
    <t>CNS &amp; Neurological Disorders-Drug Targets</t>
  </si>
  <si>
    <t>COCHRANE DB SYST REV</t>
  </si>
  <si>
    <t>Cochrane Database of Systematic Reviews</t>
  </si>
  <si>
    <t>COGN AFFECT BEHAV NE</t>
  </si>
  <si>
    <t>COGNITIVE AFFECTIVE &amp; BEHAVIORAL NEUROSCIENCE</t>
  </si>
  <si>
    <t>COGN BEHAV PRACT</t>
  </si>
  <si>
    <t>COGNITIVE AND BEHAVIORAL PRACTICE</t>
  </si>
  <si>
    <t>COGN NEURODYNAMICS</t>
  </si>
  <si>
    <t>Cognitive Neurodynamics</t>
  </si>
  <si>
    <t>COGN SYST RES</t>
  </si>
  <si>
    <t>Cognitive Systems Research</t>
  </si>
  <si>
    <t>COGNITION</t>
  </si>
  <si>
    <t>COGNITION EMOTION</t>
  </si>
  <si>
    <t>COGNITION &amp; EMOTION</t>
  </si>
  <si>
    <t>COGNITION INSTRUCT</t>
  </si>
  <si>
    <t>COGNITION AND INSTRUCTION</t>
  </si>
  <si>
    <t>COGNITIVE DEV</t>
  </si>
  <si>
    <t>COGNITIVE DEVELOPMENT</t>
  </si>
  <si>
    <t>COGNITIVE SCI</t>
  </si>
  <si>
    <t>COGNITIVE SCIENCE</t>
  </si>
  <si>
    <t>COGNITIVE THER RES</t>
  </si>
  <si>
    <t>COGNITIVE THERAPY AND RESEARCH</t>
  </si>
  <si>
    <t>COLL RES LIBR</t>
  </si>
  <si>
    <t>COLLEGE &amp; RESEARCH LIBRARIES</t>
  </si>
  <si>
    <t>COLORECTAL DIS</t>
  </si>
  <si>
    <t>Colorectal Disease</t>
  </si>
  <si>
    <t>COMMUNITY DENT HLTH</t>
  </si>
  <si>
    <t>COMMUNITY DENTAL HEALTH</t>
  </si>
  <si>
    <t>COMMUNITY MENT HLT J</t>
  </si>
  <si>
    <t>COMMUNITY MENTAL HEALTH JOURNAL</t>
  </si>
  <si>
    <t>COMP CYTOGENET</t>
  </si>
  <si>
    <t>Comparative Cytogenetics</t>
  </si>
  <si>
    <t>COMPUT CHEM ENG</t>
  </si>
  <si>
    <t>COMPUTERS &amp; CHEMICAL ENGINEERING</t>
  </si>
  <si>
    <t>COMPUT CONCRETE</t>
  </si>
  <si>
    <t>Computers and Concrete</t>
  </si>
  <si>
    <t>COMPUT EDUC</t>
  </si>
  <si>
    <t>COMPUTERS &amp; EDUCATION</t>
  </si>
  <si>
    <t>COMPUT ELECTR ENG</t>
  </si>
  <si>
    <t>COMPUTERS &amp; ELECTRICAL ENGINEERING</t>
  </si>
  <si>
    <t>COMPUT ELECTRON AGR</t>
  </si>
  <si>
    <t>COMPUTERS AND ELECTRONICS IN AGRICULTURE</t>
  </si>
  <si>
    <t>COMPUT FLUIDS</t>
  </si>
  <si>
    <t>COMPUTERS &amp; FLUIDS</t>
  </si>
  <si>
    <t>COMPUT GEOSCI-UK</t>
  </si>
  <si>
    <t>COMPUTERS &amp; GEOSCIENCES</t>
  </si>
  <si>
    <t>COMPUT GEOTECH</t>
  </si>
  <si>
    <t>COMPUTERS AND GEOTECHNICS</t>
  </si>
  <si>
    <t>COMPUT HUM BEHAV</t>
  </si>
  <si>
    <t>COMPUTERS IN HUMAN BEHAVIOR</t>
  </si>
  <si>
    <t>COMPUT IND</t>
  </si>
  <si>
    <t>COMPUTERS IN INDUSTRY</t>
  </si>
  <si>
    <t>COMPUT IND ENG</t>
  </si>
  <si>
    <t>COMPUTERS &amp; INDUSTRIAL ENGINEERING</t>
  </si>
  <si>
    <t>COMPUT LINGUIST</t>
  </si>
  <si>
    <t>COMPUTATIONAL LINGUISTICS</t>
  </si>
  <si>
    <t>COMPUT MATH APPL</t>
  </si>
  <si>
    <t>COMPUTERS &amp; MATHEMATICS WITH APPLICATIONS</t>
  </si>
  <si>
    <t>COMPUT METHOD BIOMEC</t>
  </si>
  <si>
    <t>COMPUTER METHODS IN BIOMECHANICS AND BIOMEDICAL ENGINEERING</t>
  </si>
  <si>
    <t>COMPUT MUSIC J</t>
  </si>
  <si>
    <t>COMPUTER MUSIC JOURNAL</t>
  </si>
  <si>
    <t>COMPUT OPER RES</t>
  </si>
  <si>
    <t>COMPUTERS &amp; OPERATIONS RESEARCH</t>
  </si>
  <si>
    <t>COMPUT PHYS COMMUN</t>
  </si>
  <si>
    <t>COMPUTER PHYSICS COMMUNICATIONS</t>
  </si>
  <si>
    <t>COMPUT SCI ENG</t>
  </si>
  <si>
    <t>COMPUTING IN SCIENCE &amp; ENGINEERING</t>
  </si>
  <si>
    <t>COMPUT STRUCT</t>
  </si>
  <si>
    <t>COMPUTERS &amp; STRUCTURES</t>
  </si>
  <si>
    <t>COMPUT-AIDED CIV INF</t>
  </si>
  <si>
    <t>COMPUTER-AIDED CIVIL AND INFRASTRUCTURE ENGINEERING</t>
  </si>
  <si>
    <t>COMPUTAT GEOSCI</t>
  </si>
  <si>
    <t>COMPUTATIONAL GEOSCIENCES</t>
  </si>
  <si>
    <t>CONCURRENT ENG-RES A</t>
  </si>
  <si>
    <t>CONCURRENT ENGINEERING-RESEARCH AND APPLICATIONS</t>
  </si>
  <si>
    <t>CONSCIOUS COGN</t>
  </si>
  <si>
    <t>CONSCIOUSNESS AND COGNITION</t>
  </si>
  <si>
    <t>CONTEMP EDUC PSYCHOL</t>
  </si>
  <si>
    <t>CONTEMPORARY EDUCATIONAL PSYCHOLOGY</t>
  </si>
  <si>
    <t>CONTEMP NURSE</t>
  </si>
  <si>
    <t>Contemporary Nurse</t>
  </si>
  <si>
    <t>CONTEMP PSYCHOANAL</t>
  </si>
  <si>
    <t>CONTEMPORARY PSYCHOANALYSIS</t>
  </si>
  <si>
    <t>CONTINUITY CHANGE</t>
  </si>
  <si>
    <t>CONTINUITY AND CHANGE</t>
  </si>
  <si>
    <t>CONTRAST MEDIA MOL I</t>
  </si>
  <si>
    <t>Contrast Media &amp; Molecular Imaging</t>
  </si>
  <si>
    <t>COUNS PSYCHOL</t>
  </si>
  <si>
    <t>COUNSELING PSYCHOLOGIST</t>
  </si>
  <si>
    <t>CR ACAD BULG SCI</t>
  </si>
  <si>
    <t>COMPTES RENDUS DE L ACADEMIE BULGARE DES SCIENCES</t>
  </si>
  <si>
    <t>CREATIVITY RES J</t>
  </si>
  <si>
    <t>CREATIVITY RESEARCH JOURNAL</t>
  </si>
  <si>
    <t>CRIM JUSTICE BEHAV</t>
  </si>
  <si>
    <t>CRIMINAL JUSTICE AND BEHAVIOR</t>
  </si>
  <si>
    <t>CRIME LAW SOCIAL CH</t>
  </si>
  <si>
    <t>CRIME LAW AND SOCIAL CHANGE</t>
  </si>
  <si>
    <t>CRISIS</t>
  </si>
  <si>
    <t>Crisis-The Journal of Crisis Intervention and Suicide Prevention</t>
  </si>
  <si>
    <t>CRIT CARE NURSE</t>
  </si>
  <si>
    <t>Critical Care Nurse</t>
  </si>
  <si>
    <t>CRIT REV</t>
  </si>
  <si>
    <t>CRITICAL REVIEW</t>
  </si>
  <si>
    <t>CRIT SOC POLICY</t>
  </si>
  <si>
    <t>CRITICAL SOCIAL POLICY</t>
  </si>
  <si>
    <t>CROP BREED APPL BIOT</t>
  </si>
  <si>
    <t>Crop Breeding and Applied Biotechnology</t>
  </si>
  <si>
    <t>CROSS-CULT RES</t>
  </si>
  <si>
    <t>CROSS-CULTURAL RESEARCH</t>
  </si>
  <si>
    <t>CRYPTOLOGIA</t>
  </si>
  <si>
    <t>CTS-CLIN TRANSL SCI</t>
  </si>
  <si>
    <t>CTS-Clinical and Translational Science</t>
  </si>
  <si>
    <t>CUAJ-CAN UROL ASSOC</t>
  </si>
  <si>
    <t>CUAJ-Canadian Urological Association Journal</t>
  </si>
  <si>
    <t>CULT HEALTH SEX</t>
  </si>
  <si>
    <t>CULTURE HEALTH &amp; SEXUALITY</t>
  </si>
  <si>
    <t>CULT MED PSYCHIAT</t>
  </si>
  <si>
    <t>CULTURE MEDICINE AND PSYCHIATRY</t>
  </si>
  <si>
    <t>CULT PSYCHOL</t>
  </si>
  <si>
    <t>CULTURE &amp; PSYCHOLOGY</t>
  </si>
  <si>
    <t>CULT STUD</t>
  </si>
  <si>
    <t>CULTURAL STUDIES</t>
  </si>
  <si>
    <t>CURR ALZHEIMER RES</t>
  </si>
  <si>
    <t>Current Alzheimer Research</t>
  </si>
  <si>
    <t>CURR BIOINFORM</t>
  </si>
  <si>
    <t>Current Bioinformatics</t>
  </si>
  <si>
    <t>CURR COMPUT-AID DRUG</t>
  </si>
  <si>
    <t>Current Computer-Aided Drug Design</t>
  </si>
  <si>
    <t>CURR DIR PSYCHOL SCI</t>
  </si>
  <si>
    <t>CURRENT DIRECTIONS IN PSYCHOLOGICAL SCIENCE</t>
  </si>
  <si>
    <t>CURR NEUROL NEUROSCI</t>
  </si>
  <si>
    <t>Current Neurology and Neuroscience Reports</t>
  </si>
  <si>
    <t>CURR OPIN ALLERGY CL</t>
  </si>
  <si>
    <t>Current Opinion in Allergy and Clinical Immunology</t>
  </si>
  <si>
    <t>CURR OPIN CRIT CARE</t>
  </si>
  <si>
    <t>Current Opinion in Critical Care</t>
  </si>
  <si>
    <t>CURR OPIN OPHTHALMOL</t>
  </si>
  <si>
    <t>CURRENT OPINION IN OPHTHALMOLOGY</t>
  </si>
  <si>
    <t>CURR OPIN ORGAN TRAN</t>
  </si>
  <si>
    <t>Current Opinion in Organ Transplantation</t>
  </si>
  <si>
    <t>CURR PSYCHOL</t>
  </si>
  <si>
    <t>CURRENT PSYCHOLOGY</t>
  </si>
  <si>
    <t>CURR TOP NUTRACEUT R</t>
  </si>
  <si>
    <t>Current Topics in Nutraceutical Research</t>
  </si>
  <si>
    <t>CYTOL GENET+</t>
  </si>
  <si>
    <t>Cytology and Genetics</t>
  </si>
  <si>
    <t>DADOS-REV CIENC SOC</t>
  </si>
  <si>
    <t>DADOS-REVISTA DE CIENCIAS SOCIAIS</t>
  </si>
  <si>
    <t>DARU</t>
  </si>
  <si>
    <t>DEATH STUD</t>
  </si>
  <si>
    <t>DEATH STUDIES</t>
  </si>
  <si>
    <t>DEMOGR RES</t>
  </si>
  <si>
    <t>Demographic Research</t>
  </si>
  <si>
    <t>DEMOGRAPHY</t>
  </si>
  <si>
    <t>DENT MATER J</t>
  </si>
  <si>
    <t>DENTAL MATERIALS JOURNAL</t>
  </si>
  <si>
    <t>DERMATITIS</t>
  </si>
  <si>
    <t>Dermatitis</t>
  </si>
  <si>
    <t>DERMATOL THER</t>
  </si>
  <si>
    <t>Dermatologic Therapy</t>
  </si>
  <si>
    <t>DEV NEUROBIOL</t>
  </si>
  <si>
    <t>Developmental Neurobiology</t>
  </si>
  <si>
    <t>DEV PSYCHOL</t>
  </si>
  <si>
    <t>DEVELOPMENTAL PSYCHOLOGY</t>
  </si>
  <si>
    <t>DEV PSYCHOPATHOL</t>
  </si>
  <si>
    <t>DEVELOPMENT AND PSYCHOPATHOLOGY</t>
  </si>
  <si>
    <t>DEV REV</t>
  </si>
  <si>
    <t>DEVELOPMENTAL REVIEW</t>
  </si>
  <si>
    <t>DEV WORLD BIOETH</t>
  </si>
  <si>
    <t>Developing World Bioethics</t>
  </si>
  <si>
    <t>DEVELOPMENTAL SCI</t>
  </si>
  <si>
    <t>DEVELOPMENTAL SCIENCE</t>
  </si>
  <si>
    <t>DEVIANT BEHAV</t>
  </si>
  <si>
    <t>DEVIANT BEHAVIOR</t>
  </si>
  <si>
    <t>DIABETES STOFFWECH H</t>
  </si>
  <si>
    <t>Diabetes Stoffwechsel und Herz</t>
  </si>
  <si>
    <t>DIABETES TECHNOL THE</t>
  </si>
  <si>
    <t>Diabetes Technology &amp; Therapeutics</t>
  </si>
  <si>
    <t>DIABETOL STOFFWECHS</t>
  </si>
  <si>
    <t>Diabetologie und Stoffwechsel</t>
  </si>
  <si>
    <t>DIAGN INTERV RADIOL</t>
  </si>
  <si>
    <t>Diagnostic and Interventional Radiology</t>
  </si>
  <si>
    <t>DIAGNOSTICA</t>
  </si>
  <si>
    <t>DIGEST ENDOSC</t>
  </si>
  <si>
    <t>Digestive Endoscopy</t>
  </si>
  <si>
    <t>DIGESTION</t>
  </si>
  <si>
    <t>DIGIT INVEST</t>
  </si>
  <si>
    <t>Digital Investigation</t>
  </si>
  <si>
    <t>DIS MODEL MECH</t>
  </si>
  <si>
    <t>Disease Models &amp; Mechanisms</t>
  </si>
  <si>
    <t>DISABIL SOC</t>
  </si>
  <si>
    <t>DISABILITY &amp; SOCIETY</t>
  </si>
  <si>
    <t>DISCOURSE PROCESS</t>
  </si>
  <si>
    <t>DISCOURSE PROCESSES</t>
  </si>
  <si>
    <t>DISCOURSE SOC</t>
  </si>
  <si>
    <t>DISCOURSE &amp; SOCIETY</t>
  </si>
  <si>
    <t>DISSOLUT TECHNOL</t>
  </si>
  <si>
    <t>DISSOLUTION TECHNOLOGIES</t>
  </si>
  <si>
    <t>DIVING HYPERB MED</t>
  </si>
  <si>
    <t>Diving and Hyperbaric Medicine</t>
  </si>
  <si>
    <t>DOKL BIOCHEM BIOPHYS</t>
  </si>
  <si>
    <t>Doklady Biochemistry and Biophysics</t>
  </si>
  <si>
    <t>DRUG ALCOHOL REV</t>
  </si>
  <si>
    <t>DRUG AND ALCOHOL REVIEW</t>
  </si>
  <si>
    <t>DRUG METAB PHARMACOK</t>
  </si>
  <si>
    <t>Drug Metabolism and Pharmacokinetics</t>
  </si>
  <si>
    <t>DRUG TODAY</t>
  </si>
  <si>
    <t>DRUG-EDUC PREV POLIC</t>
  </si>
  <si>
    <t>DRUGS-EDUCATION PREVENTION AND POLICY</t>
  </si>
  <si>
    <t>DRUGS R&amp;D</t>
  </si>
  <si>
    <t>DRUGS IN R&amp;D</t>
  </si>
  <si>
    <t>DYSLEXIA</t>
  </si>
  <si>
    <t>EARLY CHILD RES Q</t>
  </si>
  <si>
    <t>EARLY CHILDHOOD RESEARCH QUARTERLY</t>
  </si>
  <si>
    <t>EARLY INTERV PSYCHIA</t>
  </si>
  <si>
    <t>Early Intervention in Psychiatry</t>
  </si>
  <si>
    <t>EAT WEIGHT DISORD-ST</t>
  </si>
  <si>
    <t>Eating and Weight Disorders-Studies on Anorexia Bulimia and Obesity</t>
  </si>
  <si>
    <t>ECOL PSYCHOL</t>
  </si>
  <si>
    <t>ECOLOGICAL PSYCHOLOGY</t>
  </si>
  <si>
    <t>ECON HUM BIOL</t>
  </si>
  <si>
    <t>Economics &amp; Human Biology</t>
  </si>
  <si>
    <t>ECONOMET J</t>
  </si>
  <si>
    <t>Econometrics Journal</t>
  </si>
  <si>
    <t>ECONOMET REV</t>
  </si>
  <si>
    <t>Econometric Reviews</t>
  </si>
  <si>
    <t>ECONTENT</t>
  </si>
  <si>
    <t>EDUC PSYCHOL MEAS</t>
  </si>
  <si>
    <t>EDUCATIONAL AND PSYCHOLOGICAL MEASUREMENT</t>
  </si>
  <si>
    <t>EDUC PSYCHOL REV</t>
  </si>
  <si>
    <t>EDUCATIONAL PSYCHOLOGY REVIEW</t>
  </si>
  <si>
    <t>EDUC PSYCHOL-US</t>
  </si>
  <si>
    <t>EDUCATIONAL PSYCHOLOGIST</t>
  </si>
  <si>
    <t>ELECTRON COMMER R A</t>
  </si>
  <si>
    <t>Electronic Commerce Research and Applications</t>
  </si>
  <si>
    <t>ELECTRON LIBR</t>
  </si>
  <si>
    <t>ELECTRONIC LIBRARY</t>
  </si>
  <si>
    <t>EMERG MED AUSTRALAS</t>
  </si>
  <si>
    <t>MOLECULAR GENETICS AND GENOMICS</t>
  </si>
  <si>
    <t>MOLECULAR GENETICS AND METABOLISM</t>
  </si>
  <si>
    <t>MOLECULAR HUMAN REPRODUCTION</t>
  </si>
  <si>
    <t>MOLECULAR IMAGING AND BIOLOGY</t>
  </si>
  <si>
    <t>MOLECULAR IMMUNOLOGY</t>
  </si>
  <si>
    <t>MOLECULAR MEDICINE</t>
  </si>
  <si>
    <t>MOLECULAR MEMBRANE BIOLOGY</t>
  </si>
  <si>
    <t>MOLECULAR MICROBIOLOGY</t>
  </si>
  <si>
    <t>MOLECULAR NEUROBIOLOGY</t>
  </si>
  <si>
    <t>MOLECULAR PHARMACOLOGY</t>
  </si>
  <si>
    <t>MOLECULAR PHYLOGENETICS AND EVOLUTION</t>
  </si>
  <si>
    <t>MOLECULAR PLANT-MICROBE INTERACTIONS</t>
  </si>
  <si>
    <t>MOLECULAR PSYCHIATRY</t>
  </si>
  <si>
    <t>MOLECULAR REPRODUCTION AND DEVELOPMENT</t>
  </si>
  <si>
    <t>Molecular Systems Biology</t>
  </si>
  <si>
    <t>MOLECULAR THERAPY</t>
  </si>
  <si>
    <t>MOLECULAR VISION</t>
  </si>
  <si>
    <t>MONATSHEFTE FUR CHEMIE</t>
  </si>
  <si>
    <t>MONATSSCHRIFT KINDERHEILKUNDE</t>
  </si>
  <si>
    <t>MOVEMENT DISORDERS</t>
  </si>
  <si>
    <t>MULTIVARIATE BEHAVIORAL RESEARCH</t>
  </si>
  <si>
    <t>MUSCLE &amp; NERVE</t>
  </si>
  <si>
    <t>MUTATION RESEARCH-FUNDAMENTAL AND MOLECULAR MECHANISMS OF MUTAGENESIS</t>
  </si>
  <si>
    <t>MUTATION RESEARCH-GENETIC TOXICOLOGY AND ENVIRONMENTAL MUTAGENESIS</t>
  </si>
  <si>
    <t>MUTATION RESEARCH-REVIEWS IN MUTATION RESEARCH</t>
  </si>
  <si>
    <t>NANO LETTERS</t>
  </si>
  <si>
    <t>Nano Today</t>
  </si>
  <si>
    <t>Nanomedicine</t>
  </si>
  <si>
    <t>Nanoscale and Microscale Thermophysical Engineering</t>
  </si>
  <si>
    <t>NATURE BIOTECHNOLOGY</t>
  </si>
  <si>
    <t>NATURE CELL BIOLOGY</t>
  </si>
  <si>
    <t>Nature Chemical Biology</t>
  </si>
  <si>
    <t>NATURE GENETICS</t>
  </si>
  <si>
    <t>NATURE IMMUNOLOGY</t>
  </si>
  <si>
    <t>NATURE MEDICINE</t>
  </si>
  <si>
    <t>NATURE METHODS</t>
  </si>
  <si>
    <t>NATURE NEUROSCIENCE</t>
  </si>
  <si>
    <t>NATURAL PRODUCT REPORTS</t>
  </si>
  <si>
    <t>NATURAL PRODUCT RESEARCH</t>
  </si>
  <si>
    <t>NATURE REVIEWS CANCER</t>
  </si>
  <si>
    <t>NATURE REVIEWS DRUG DISCOVERY</t>
  </si>
  <si>
    <t>NATURE REVIEWS GENETICS</t>
  </si>
  <si>
    <t>NATURE REVIEWS IMMUNOLOGY</t>
  </si>
  <si>
    <t>NATURE REVIEWS MICROBIOLOGY</t>
  </si>
  <si>
    <t>NATURE REVIEWS MOLECULAR CELL BIOLOGY</t>
  </si>
  <si>
    <t>NATURE REVIEWS NEUROSCIENCE</t>
  </si>
  <si>
    <t>NATURE STRUCTURAL &amp; MOLECULAR BIOLOGY</t>
  </si>
  <si>
    <t>NATIONAL ACADEMY SCIENCE LETTERS-INDIA</t>
  </si>
  <si>
    <t>NATIONAL MEDICAL JOURNAL OF INDIA</t>
  </si>
  <si>
    <t>NEPHROLOGY DIALYSIS TRANSPLANTATION</t>
  </si>
  <si>
    <t>NETHERLANDS JOURNAL OF MEDICINE</t>
  </si>
  <si>
    <t>NETWORK-COMPUTATION IN NEURAL SYSTEMS</t>
  </si>
  <si>
    <t>NEURAL PROCESSING LETTERS</t>
  </si>
  <si>
    <t>NEUROBIOLOGY OF AGING</t>
  </si>
  <si>
    <t>NEUROBIOLOGY OF DISEASE</t>
  </si>
  <si>
    <t>NEUROBIOLOGY OF LEARNING AND MEMORY</t>
  </si>
  <si>
    <t>NEUROCHEMISTRY INTERNATIONAL</t>
  </si>
  <si>
    <t>NEUROCHEMICAL RESEARCH</t>
  </si>
  <si>
    <t>Neurocritical Care</t>
  </si>
  <si>
    <t>NEUROENDOCRINOLOGY LETTERS</t>
  </si>
  <si>
    <t>NEUROGASTROENTEROLOGY AND MOTILITY</t>
  </si>
  <si>
    <t>NEUROIMAGING CLINICS OF NORTH AMERICA</t>
  </si>
  <si>
    <t>NEUROIMMUNOMODULATION</t>
  </si>
  <si>
    <t>NEUROLOGIC CLINICS</t>
  </si>
  <si>
    <t>NEUROLOGY INDIA</t>
  </si>
  <si>
    <t>NEUROLOGIA MEDICO-CHIRURGICA</t>
  </si>
  <si>
    <t>NEUROLOGICAL RESEARCH</t>
  </si>
  <si>
    <t>NEUROLOGICAL SCIENCES</t>
  </si>
  <si>
    <t>NEUROMOLECULAR MEDICINE</t>
  </si>
  <si>
    <t>NEUROMUSCULAR DISORDERS</t>
  </si>
  <si>
    <t>NEUROPATHOLOGY AND APPLIED NEUROBIOLOGY</t>
  </si>
  <si>
    <t>NEUROPHYSIOLOGIE CLINIQUE-CLINICAL NEUROPHYSIOLOGY</t>
  </si>
  <si>
    <t>NEUROPSYCHOLOGICAL REHABILITATION</t>
  </si>
  <si>
    <t>NEUROPSYCHOLOGY REVIEW</t>
  </si>
  <si>
    <t>NEUROPSYCHOPHARMACOLOGY</t>
  </si>
  <si>
    <t>NEUROREHABILITATION AND NEURAL REPAIR</t>
  </si>
  <si>
    <t>NEUROSCIENCE AND BIOBEHAVIORAL REVIEWS</t>
  </si>
  <si>
    <t>NEUROSCIENCE LETTERS</t>
  </si>
  <si>
    <t>NEUROSCIENCE RESEARCH</t>
  </si>
  <si>
    <t>NEUROSURGERY CLINICS OF NORTH AMERICA</t>
  </si>
  <si>
    <t>NEUROSURGICAL REVIEW</t>
  </si>
  <si>
    <t>NEUROTOXICITY RESEARCH</t>
  </si>
  <si>
    <t>NEUROTOXICOLOGY AND TERATOLOGY</t>
  </si>
  <si>
    <t>NEUROUROLOGY AND URODYNAMICS</t>
  </si>
  <si>
    <t>NEW ENGLAND JOURNAL OF MEDICINE</t>
  </si>
  <si>
    <t>NEW GENETICS AND SOCIETY</t>
  </si>
  <si>
    <t>NEW JOURNAL OF CHEMISTRY</t>
  </si>
  <si>
    <t>New Microbiologica</t>
  </si>
  <si>
    <t>NEW SCIENTIST</t>
  </si>
  <si>
    <t>NEW ZEALAND VETERINARY JOURNAL</t>
  </si>
  <si>
    <t>NICOTINE &amp; TOBACCO RESEARCH</t>
  </si>
  <si>
    <t>NITRIC OXIDE-BIOLOGY AND CHEMISTRY</t>
  </si>
  <si>
    <t>NMR IN BIOMEDICINE</t>
  </si>
  <si>
    <t>NOISE CONTROL ENGINEERING JOURNAL</t>
  </si>
  <si>
    <t>NONLINEAR DYNAMICS</t>
  </si>
  <si>
    <t>NORDIC JOURNAL OF PSYCHIATRY</t>
  </si>
  <si>
    <t>NAUNYN-SCHMIEDEBERGS ARCHIVES OF PHARMACOLOGY</t>
  </si>
  <si>
    <t>NUCLEAR MEDICINE AND BIOLOGY</t>
  </si>
  <si>
    <t>NUCLEAR MEDICINE COMMUNICATIONS</t>
  </si>
  <si>
    <t>NUCLEIC ACIDS RESEARCH</t>
  </si>
  <si>
    <t>NUCLEOSIDES NUCLEOTIDES &amp; NUCLEIC ACIDS</t>
  </si>
  <si>
    <t>NUKLEARMEDIZIN-NUCLEAR MEDICINE</t>
  </si>
  <si>
    <t>NURSING CLINICS OF NORTH AMERICA</t>
  </si>
  <si>
    <t>NURSING ECONOMICS</t>
  </si>
  <si>
    <t>NURSE EDUCATION TODAY</t>
  </si>
  <si>
    <t>NURSING ETHICS</t>
  </si>
  <si>
    <t>NURSING OUTLOOK</t>
  </si>
  <si>
    <t>NURSING RESEARCH</t>
  </si>
  <si>
    <t>NURSING SCIENCE QUARTERLY</t>
  </si>
  <si>
    <t>NUTRITION AND CANCER-AN INTERNATIONAL JOURNAL</t>
  </si>
  <si>
    <t>NUTRITION METABOLISM AND CARDIOVASCULAR DISEASES</t>
  </si>
  <si>
    <t>NUTRITIONAL NEUROSCIENCE</t>
  </si>
  <si>
    <t>NUTRITION RESEARCH</t>
  </si>
  <si>
    <t>NUTRITION RESEARCH REVIEWS</t>
  </si>
  <si>
    <t>NUTRITION REVIEWS</t>
  </si>
  <si>
    <t>OBESITY SURGERY</t>
  </si>
  <si>
    <t>Obesity</t>
  </si>
  <si>
    <t>OBSTETRICS AND GYNECOLOGY CLINICS OF NORTH AMERICA</t>
  </si>
  <si>
    <t>OBSTETRICS AND GYNECOLOGY</t>
  </si>
  <si>
    <t>OBSTETRICAL &amp; GYNECOLOGICAL SURVEY</t>
  </si>
  <si>
    <t>OCCUPATIONAL AND ENVIRONMENTAL MEDICINE</t>
  </si>
  <si>
    <t>OCCUPATIONAL MEDICINE-OXFORD</t>
  </si>
  <si>
    <t>OCULAR IMMUNOLOGY AND INFLAMMATION</t>
  </si>
  <si>
    <t>OMICS-A JOURNAL OF INTEGRATIVE BIOLOGY</t>
  </si>
  <si>
    <t>ONCOLOGY NURSING FORUM</t>
  </si>
  <si>
    <t>ONCOLOGY REPORTS</t>
  </si>
  <si>
    <t>ONCOLOGY RESEARCH</t>
  </si>
  <si>
    <t>ONCOLOGY</t>
  </si>
  <si>
    <t>ONCOLOGY-NEW YORK</t>
  </si>
  <si>
    <t>ONDERSTEPOORT JOURNAL OF VETERINARY RESEARCH</t>
  </si>
  <si>
    <t>OPEN SYSTEMS &amp; INFORMATION DYNAMICS</t>
  </si>
  <si>
    <t>OPERATIVE DENTISTRY</t>
  </si>
  <si>
    <t>OPERATIVE TECHNIQUES IN SPORTS MEDICINE</t>
  </si>
  <si>
    <t>OPHTHALMIC EPIDEMIOLOGY</t>
  </si>
  <si>
    <t>OPHTHALMIC AND PHYSIOLOGICAL OPTICS</t>
  </si>
  <si>
    <t>OPHTHALMIC PLASTIC AND RECONSTRUCTIVE SURGERY</t>
  </si>
  <si>
    <t>OPHTHALMIC RESEARCH</t>
  </si>
  <si>
    <t>OPTICA APPLICATA</t>
  </si>
  <si>
    <t>OPTICS COMMUNICATIONS</t>
  </si>
  <si>
    <t>OPTICAL ENGINEERING</t>
  </si>
  <si>
    <t>OPTICS EXPRESS</t>
  </si>
  <si>
    <t>OPTICAL FIBER TECHNOLOGY</t>
  </si>
  <si>
    <t>OPTICS AND LASERS IN ENGINEERING</t>
  </si>
  <si>
    <t>OPTICS AND LASER TECHNOLOGY</t>
  </si>
  <si>
    <t>OPTICS LETTERS</t>
  </si>
  <si>
    <t>OPTICAL MATERIALS</t>
  </si>
  <si>
    <t>OPTICAL AND QUANTUM ELECTRONICS</t>
  </si>
  <si>
    <t>OPTICAL REVIEW</t>
  </si>
  <si>
    <t>OPTICS AND SPECTROSCOPY</t>
  </si>
  <si>
    <t>OPTO-ELECTRONICS REVIEW</t>
  </si>
  <si>
    <t>OPTOMETRY AND VISION SCIENCE</t>
  </si>
  <si>
    <t>ORAL DISEASES</t>
  </si>
  <si>
    <t>ORAL ONCOLOGY</t>
  </si>
  <si>
    <t>ORGANIC &amp; BIOMOLECULAR CHEMISTRY</t>
  </si>
  <si>
    <t>ORGANIC LETTERS</t>
  </si>
  <si>
    <t>ORGANIC PREPARATIONS AND PROCEDURES INTERNATIONAL</t>
  </si>
  <si>
    <t>ORGANIC PROCESS RESEARCH &amp; DEVELOPMENT</t>
  </si>
  <si>
    <t>ORTHOPEDIC CLINICS OF NORTH AMERICA</t>
  </si>
  <si>
    <t>OSTEOARTHRITIS AND CARTILAGE</t>
  </si>
  <si>
    <t>OSTEOPOROSIS INTERNATIONAL</t>
  </si>
  <si>
    <t>OTOLOGY &amp; NEUROTOLOGY</t>
  </si>
  <si>
    <t>OTOLARYNGOLOGIC CLINICS OF NORTH AMERICA</t>
  </si>
  <si>
    <t>OTOLARYNGOLOGY-HEAD AND NECK SURGERY</t>
  </si>
  <si>
    <t>OXFORD BULLETIN OF ECONOMICS AND STATISTICS</t>
  </si>
  <si>
    <t>PROCEEDINGS OF THE BIOLOGICAL SOCIETY OF WASHINGTON</t>
  </si>
  <si>
    <t>PROCEEDINGS OF THE JAPAN ACADEMY SERIES B-PHYSICAL AND BIOLOGICAL SCIENCES</t>
  </si>
  <si>
    <t>PROCEEDINGS OF THE NUTRITION SOCIETY</t>
  </si>
  <si>
    <t>PACE-PACING AND CLINICAL ELECTROPHYSIOLOGY</t>
  </si>
  <si>
    <t>PAEDIATRIC AND PERINATAL EPIDEMIOLOGY</t>
  </si>
  <si>
    <t>PAIN MEDICINE</t>
  </si>
  <si>
    <t>PALLIATIVE MEDICINE</t>
  </si>
  <si>
    <t>PANMINERVA MEDICA</t>
  </si>
  <si>
    <t>PARASITE IMMUNOLOGY</t>
  </si>
  <si>
    <t>PARASITOLOGY INTERNATIONAL</t>
  </si>
  <si>
    <t>PARASITOLOGY RESEARCH</t>
  </si>
  <si>
    <t>PARKINSONISM &amp; RELATED DISORDERS</t>
  </si>
  <si>
    <t>PATHOLOGY INTERNATIONAL</t>
  </si>
  <si>
    <t>PATHOLOGY &amp; ONCOLOGY RESEARCH</t>
  </si>
  <si>
    <t>PATHOLOGY RESEARCH AND PRACTICE</t>
  </si>
  <si>
    <t>PATIENT EDUCATION AND COUNSELING</t>
  </si>
  <si>
    <t>PEDIATRIC ALLERGY AND IMMUNOLOGY</t>
  </si>
  <si>
    <t>PEDIATRIC ANESTHESIA</t>
  </si>
  <si>
    <t>PEDIATRIC ANNALS</t>
  </si>
  <si>
    <t>PEDIATRIC BLOOD &amp; CANCER</t>
  </si>
  <si>
    <t>PEDIATRIC CARDIOLOGY</t>
  </si>
  <si>
    <t>PEDIATRIC CLINICS OF NORTH AMERICA</t>
  </si>
  <si>
    <t>PEDIATRIC DERMATOLOGY</t>
  </si>
  <si>
    <t>PEDIATRIC AND DEVELOPMENTAL PATHOLOGY</t>
  </si>
  <si>
    <t>PEDIATRIC DIABETES</t>
  </si>
  <si>
    <t>PEDIATRIC EMERGENCY CARE</t>
  </si>
  <si>
    <t>PEDIATRIC EXERCISE SCIENCE</t>
  </si>
  <si>
    <t>PEDIATRIC HEMATOLOGY AND ONCOLOGY</t>
  </si>
  <si>
    <t>PEDIATRIC INFECTIOUS DISEASE JOURNAL</t>
  </si>
  <si>
    <t>PEDIATRICS INTERNATIONAL</t>
  </si>
  <si>
    <t>PEDIATRIC NEPHROLOGY</t>
  </si>
  <si>
    <t>PEDIATRIC NEUROLOGY</t>
  </si>
  <si>
    <t>PEDIATRIC NEUROSURGERY</t>
  </si>
  <si>
    <t>PEDIATRIC PULMONOLOGY</t>
  </si>
  <si>
    <t>PEDIATRIC RADIOLOGY</t>
  </si>
  <si>
    <t>PEDIATRIC RESEARCH</t>
  </si>
  <si>
    <t>PEDIATRIC SURGERY INTERNATIONAL</t>
  </si>
  <si>
    <t>PEDIATRIC TRANSPLANTATION</t>
  </si>
  <si>
    <t>PERIODICUM BIOLOGORUM</t>
  </si>
  <si>
    <t>PERIODONTOLOGY 2000</t>
  </si>
  <si>
    <t>PERITONEAL DIALYSIS INTERNATIONAL</t>
  </si>
  <si>
    <t>PERSPECTIVES IN BIOLOGY AND MEDICINE</t>
  </si>
  <si>
    <t>PERSPECTIVES IN PSYCHIATRIC CARE</t>
  </si>
  <si>
    <t>PESQUISA VETERINARIA BRASILEIRA</t>
  </si>
  <si>
    <t>PESTICIDE BIOCHEMISTRY AND PHYSIOLOGY</t>
  </si>
  <si>
    <t>PETROLEUM CHEMISTRY</t>
  </si>
  <si>
    <t>PFLUGERS ARCHIV-EUROPEAN JOURNAL OF PHYSIOLOGY</t>
  </si>
  <si>
    <t>PHARMACEUTICAL BIOLOGY</t>
  </si>
  <si>
    <t>PHARMACEUTICAL DEVELOPMENT AND TECHNOLOGY</t>
  </si>
  <si>
    <t>PHARMACEUTICAL RESEARCH</t>
  </si>
  <si>
    <t>PHARMACEUTICAL STATISTICS</t>
  </si>
  <si>
    <t>PHARMACOEPIDEMIOLOGY AND DRUG SAFETY</t>
  </si>
  <si>
    <t>Pharmacogenetics and Genomics</t>
  </si>
  <si>
    <t>PHARMACOGENOMICS JOURNAL</t>
  </si>
  <si>
    <t>PHARMACOLOGY BIOCHEMISTRY AND BEHAVIOR</t>
  </si>
  <si>
    <t>Pharmacological Reports</t>
  </si>
  <si>
    <t>PHARMACOLOGICAL RESEARCH</t>
  </si>
  <si>
    <t>PHARMACOLOGICAL REVIEWS</t>
  </si>
  <si>
    <t>PHARMACOLOGY &amp; THERAPEUTICS</t>
  </si>
  <si>
    <t>PHILOSOPHY OF SCIENCE</t>
  </si>
  <si>
    <t>PHILOSOPHICAL TRANSACTIONS OF THE ROYAL SOCIETY B-BIOLOGICAL SCIENCES</t>
  </si>
  <si>
    <t>PHOTOCHEMICAL &amp; PHOTOBIOLOGICAL SCIENCES</t>
  </si>
  <si>
    <t>PHOTOCHEMISTRY AND PHOTOBIOLOGY</t>
  </si>
  <si>
    <t>PHOTODERMATOLOGY PHOTOIMMUNOLOGY &amp; PHOTOMEDICINE</t>
  </si>
  <si>
    <t>PHOTOMEDICINE AND LASER SURGERY</t>
  </si>
  <si>
    <t>PHOTONIC NETWORK COMMUNICATIONS</t>
  </si>
  <si>
    <t>PHYSICAL BIOLOGY</t>
  </si>
  <si>
    <t>PHYSICS IN MEDICINE AND BIOLOGY</t>
  </si>
  <si>
    <t>PHYSIKALISCHE MEDIZIN REHABILITATIONSMEDIZIN KURORTMEDIZIN</t>
  </si>
  <si>
    <t>PHYSICS IN PERSPECTIVE</t>
  </si>
  <si>
    <t>PHYSICAL REVIEW A</t>
  </si>
  <si>
    <t>PHYSICAL THERAPY IN SPORT</t>
  </si>
  <si>
    <t>PHYSIOLOGICAL AND BIOCHEMICAL ZOOLOGY</t>
  </si>
  <si>
    <t>PHYSIOLOGICAL GENOMICS</t>
  </si>
  <si>
    <t>PHYSIOLOGICAL MEASUREMENT</t>
  </si>
  <si>
    <t>PHYSIOLOGICAL REVIEWS</t>
  </si>
  <si>
    <t>PHYTOCHEMICAL ANALYSIS</t>
  </si>
  <si>
    <t>PHYTOTHERAPY RESEARCH</t>
  </si>
  <si>
    <t>PLANT BIOTECHNOLOGY JOURNAL</t>
  </si>
  <si>
    <t>PLANT AND CELL PHYSIOLOGY</t>
  </si>
  <si>
    <t>PLANT CELL TISSUE AND ORGAN CULTURE</t>
  </si>
  <si>
    <t>PLANT FOODS FOR HUMAN NUTRITION</t>
  </si>
  <si>
    <t>PLANT MOLECULAR BIOLOGY</t>
  </si>
  <si>
    <t>PLANT MOLECULAR BIOLOGY REPORTER</t>
  </si>
  <si>
    <t>PLANT SCIENCE</t>
  </si>
  <si>
    <t>PLANTA MEDICA</t>
  </si>
  <si>
    <t>PLASTIC AND RECONSTRUCTIVE SURGERY</t>
  </si>
  <si>
    <t>PLOS BIOLOGY</t>
  </si>
  <si>
    <t>PLoS Computational Biology</t>
  </si>
  <si>
    <t>PLoS Genetics</t>
  </si>
  <si>
    <t>PLOS MEDICINE</t>
  </si>
  <si>
    <t>PLoS Pathogens</t>
  </si>
  <si>
    <t>POLYCYCLIC AROMATIC COMPOUNDS</t>
  </si>
  <si>
    <t>POSTGRADUATE MEDICAL JOURNAL</t>
  </si>
  <si>
    <t>PRENATAL DIAGNOSIS</t>
  </si>
  <si>
    <t>PREPARATIVE BIOCHEMISTRY &amp; BIOTECHNOLOGY</t>
  </si>
  <si>
    <t>PRESSE MEDICALE</t>
  </si>
  <si>
    <t>PREVENTIVE MEDICINE</t>
  </si>
  <si>
    <t>PREVENTIVE VETERINARY MEDICINE</t>
  </si>
  <si>
    <t>PROBABILITY IN THE ENGINEERING AND INFORMATIONAL SCIENCES</t>
  </si>
  <si>
    <t>PROBABILITY THEORY AND RELATED FIELDS</t>
  </si>
  <si>
    <t>PROBABILISTIC ENGINEERING MECHANICS</t>
  </si>
  <si>
    <t>PROCESS BIOCHEMISTRY</t>
  </si>
  <si>
    <t>PROGRESS IN BIOCHEMISTRY AND BIOPHYSICS</t>
  </si>
  <si>
    <t>PROGRESS IN BIOPHYSICS &amp; MOLECULAR BIOLOGY</t>
  </si>
  <si>
    <t>PROGRESS IN CARDIOVASCULAR DISEASES</t>
  </si>
  <si>
    <t>PROGRESS IN CHEMISTRY</t>
  </si>
  <si>
    <t>PROGRESS IN ENERGY AND COMBUSTION SCIENCE</t>
  </si>
  <si>
    <t>PROGRESS IN LIPID RESEARCH</t>
  </si>
  <si>
    <t>PROGRESS IN NEUROBIOLOGY</t>
  </si>
  <si>
    <t>PROGRESS IN NEURO-PSYCHOPHARMACOLOGY &amp; BIOLOGICAL PSYCHIATRY</t>
  </si>
  <si>
    <t>PROGRESS IN RETINAL AND EYE RESEARCH</t>
  </si>
  <si>
    <t>PROGRES EN UROLOGIE</t>
  </si>
  <si>
    <t>PROSTAGLANDINS LEUKOTRIENES AND ESSENTIAL FATTY ACIDS</t>
  </si>
  <si>
    <t>PROSTAGLANDINS &amp; OTHER LIPID MEDIATORS</t>
  </si>
  <si>
    <t>PROSTATE CANCER AND PROSTATIC DISEASES</t>
  </si>
  <si>
    <t>PROSTHETICS AND ORTHOTICS INTERNATIONAL</t>
  </si>
  <si>
    <t>PROTEIN ENGINEERING DESIGN &amp; SELECTION</t>
  </si>
  <si>
    <t>PROTEIN EXPRESSION AND PURIFICATION</t>
  </si>
  <si>
    <t>PROTEIN JOURNAL</t>
  </si>
  <si>
    <t>PROTEIN AND PEPTIDE LETTERS</t>
  </si>
  <si>
    <t>PROTEIN SCIENCE</t>
  </si>
  <si>
    <t>PROTEINS-STRUCTURE FUNCTION AND BIOINFORMATICS</t>
  </si>
  <si>
    <t>PRZEMYSL CHEMICZNY</t>
  </si>
  <si>
    <t>PSYCHIATRY AND CLINICAL NEUROSCIENCES</t>
  </si>
  <si>
    <t>PSYCHIATRIC GENETICS</t>
  </si>
  <si>
    <t>PSYCHIATRY RESEARCH</t>
  </si>
  <si>
    <t>PSYCHIATRY RESEARCH-NEUROIMAGING</t>
  </si>
  <si>
    <t>PSYCHIATRIC SERVICES</t>
  </si>
  <si>
    <t>PSYCHIATRY-INTERPERSONAL AND BIOLOGICAL PROCESSES</t>
  </si>
  <si>
    <t>PSYCHOLOGICAL BULLETIN</t>
  </si>
  <si>
    <t>PSYCHOLOGICAL MEDICINE</t>
  </si>
  <si>
    <t>PSYCHOLOGY AND PSYCHOTHERAPY-THEORY RESEARCH AND PRACTICE</t>
  </si>
  <si>
    <t>PSYCHOLOGICAL REVIEW</t>
  </si>
  <si>
    <t>PSYCHOLOGY OF SPORT AND EXERCISE</t>
  </si>
  <si>
    <t>PSYCHONEUROENDOCRINOLOGY</t>
  </si>
  <si>
    <t>PSYCHO-ONCOLOGY</t>
  </si>
  <si>
    <t>PSYCHOSOMATIC MEDICINE</t>
  </si>
  <si>
    <t>PSYCHOTHERAPY AND PSYCHOSOMATICS</t>
  </si>
  <si>
    <t>PUBLIC HEALTH NURSING</t>
  </si>
  <si>
    <t>PUBLIC HEALTH NUTRITION</t>
  </si>
  <si>
    <t>PUBLIC HEALTH REPORTS</t>
  </si>
  <si>
    <t>PULMONARY PHARMACOLOGY &amp; THERAPEUTICS</t>
  </si>
  <si>
    <t>PURE AND APPLIED CHEMISTRY</t>
  </si>
  <si>
    <t>QUARTERLY JOURNAL OF EXPERIMENTAL PSYCHOLOGY</t>
  </si>
  <si>
    <t>QUARTERLY JOURNAL OF NUCLEAR MEDICINE AND MOLECULAR IMAGING</t>
  </si>
  <si>
    <t>QUARTERLY REVIEW OF BIOLOGY</t>
  </si>
  <si>
    <t>QUARTERLY REVIEWS OF BIOPHYSICS</t>
  </si>
  <si>
    <t>QJM-AN INTERNATIONAL JOURNAL OF MEDICINE</t>
  </si>
  <si>
    <t>QUALITY OF LIFE RESEARCH</t>
  </si>
  <si>
    <t>QUIMICA NOVA</t>
  </si>
  <si>
    <t>QUINTESSENCE INTERNATIONAL</t>
  </si>
  <si>
    <t>RADIATION AND ENVIRONMENTAL BIOPHYSICS</t>
  </si>
  <si>
    <t>RADIATION PROTECTION DOSIMETRY</t>
  </si>
  <si>
    <t>RADIATION RESEARCH</t>
  </si>
  <si>
    <t>RADIOLOGIC CLINICS OF NORTH AMERICA</t>
  </si>
  <si>
    <t>RADIOTHERAPY AND ONCOLOGY</t>
  </si>
  <si>
    <t>RAPID COMMUNICATIONS IN MASS SPECTROMETRY</t>
  </si>
  <si>
    <t>RAPID PROTOTYPING JOURNAL</t>
  </si>
  <si>
    <t>REDOX REPORT</t>
  </si>
  <si>
    <t>REGIONAL ANESTHESIA AND PAIN MEDICINE</t>
  </si>
  <si>
    <t>REGULATORY TOXICOLOGY AND PHARMACOLOGY</t>
  </si>
  <si>
    <t>REJUVENATION RESEARCH</t>
  </si>
  <si>
    <t>REPRODUCTIVE BIOMEDICINE ONLINE</t>
  </si>
  <si>
    <t>REPRODUCTION IN DOMESTIC ANIMALS</t>
  </si>
  <si>
    <t>REPRODUCTION FERTILITY AND DEVELOPMENT</t>
  </si>
  <si>
    <t>REPRODUCTIVE TOXICOLOGY</t>
  </si>
  <si>
    <t>RESEARCH ON CHEMICAL INTERMEDIATES</t>
  </si>
  <si>
    <t>RESEARCH IN MICROBIOLOGY</t>
  </si>
  <si>
    <t>RESEARCH IN NURSING &amp; HEALTH</t>
  </si>
  <si>
    <t>RESEARCH QUARTERLY FOR EXERCISE AND SPORT</t>
  </si>
  <si>
    <t>RESEARCH IN VETERINARY SCIENCE</t>
  </si>
  <si>
    <t>RESPIRATORY MEDICINE</t>
  </si>
  <si>
    <t>RESPIRATORY PHYSIOLOGY &amp; NEUROBIOLOGY</t>
  </si>
  <si>
    <t>RESPIRATORY RESEARCH</t>
  </si>
  <si>
    <t>RESTORATIVE NEUROLOGY AND NEUROSCIENCE</t>
  </si>
  <si>
    <t>RETINA-THE JOURNAL OF RETINAL AND VITREOUS DISEASES</t>
  </si>
  <si>
    <t>REVIEWS IN ANALYTICAL CHEMISTRY</t>
  </si>
  <si>
    <t>REVISTA DE BIOLOGIA TROPICAL</t>
  </si>
  <si>
    <t>REVISTA BRASILEIRA DE ZOOTECNIA-BRAZILIAN JOURNAL OF ANIMAL SCIENCE</t>
  </si>
  <si>
    <t>REVISTA CIENTIFICA-FACULTAD DE CIENCIAS VETERINARIAS</t>
  </si>
  <si>
    <t>REVISTA CLINICA ESPANOLA</t>
  </si>
  <si>
    <t>REVIEWS IN ENDOCRINE &amp; METABOLIC DISORDERS</t>
  </si>
  <si>
    <t>REVUE D EPIDEMIOLOGIE ET DE SANTE PUBLIQUE</t>
  </si>
  <si>
    <t>REVISTA ESPANOLA DE CARDIOLOGIA</t>
  </si>
  <si>
    <t>REVISTA ESPANOLA DE ENFERMEDADES DIGESTIVAS</t>
  </si>
  <si>
    <t>REVIEWS IN INORGANIC CHEMISTRY</t>
  </si>
  <si>
    <t>REVUE DES MALADIES RESPIRATOIRES</t>
  </si>
  <si>
    <t>REVISTA MEDICA DE CHILE</t>
  </si>
  <si>
    <t>REVUE DE MEDECINE INTERNE</t>
  </si>
  <si>
    <t>REVUE DE MEDECINE VETERINAIRE</t>
  </si>
  <si>
    <t>REVIEWS IN MEDICAL VIROLOGY</t>
  </si>
  <si>
    <t>REVUE NEUROLOGIQUE</t>
  </si>
  <si>
    <t>REVISTA DE NEUROLOGIA</t>
  </si>
  <si>
    <t>REVIEWS IN THE NEUROSCIENCES</t>
  </si>
  <si>
    <t>REVUE ROUMAINE DE CHIMIE</t>
  </si>
  <si>
    <t>REVUE SCIENTIFIQUE ET TECHNIQUE-OFFICE INTERNATIONAL DES EPIZOOTIES</t>
  </si>
  <si>
    <t>RHEUMATIC DISEASE CLINICS OF NORTH AMERICA</t>
  </si>
  <si>
    <t>RHEUMATOLOGY INTERNATIONAL</t>
  </si>
  <si>
    <t>RUSSIAN CHEMICAL BULLETIN</t>
  </si>
  <si>
    <t>RUSSIAN JOURNAL OF BIOORGANIC CHEMISTRY</t>
  </si>
  <si>
    <t>RUSSIAN JOURNAL OF GENERAL CHEMISTRY</t>
  </si>
  <si>
    <t>RUSSIAN JOURNAL OF GENETICS</t>
  </si>
  <si>
    <t>RUSSIAN JOURNAL OF ORGANIC CHEMISTRY</t>
  </si>
  <si>
    <t>SOUTH AFRICAN JOURNAL OF CHEMISTRY-SUID-AFRIKAANSE TYDSKRIF VIR CHEMIE</t>
  </si>
  <si>
    <t>SOUTH AFRICAN JOURNAL OF SCIENCE</t>
  </si>
  <si>
    <t>SOUTH AFRICAN JOURNAL OF SURGERY</t>
  </si>
  <si>
    <t>SAMJ SOUTH AFRICAN MEDICAL JOURNAL</t>
  </si>
  <si>
    <t>SAR AND QSAR IN ENVIRONMENTAL RESEARCH</t>
  </si>
  <si>
    <t>SARCOIDOSIS VASCULITIS AND DIFFUSE LUNG DISEASES</t>
  </si>
  <si>
    <t>SAUDI MEDICAL JOURNAL</t>
  </si>
  <si>
    <t>SCANDINAVIAN CARDIOVASCULAR JOURNAL</t>
  </si>
  <si>
    <t>SCANDINAVIAN JOURNAL OF CLINICAL &amp; LABORATORY INVESTIGATION</t>
  </si>
  <si>
    <t>SCANDINAVIAN JOURNAL OF GASTROENTEROLOGY</t>
  </si>
  <si>
    <t>SCANDINAVIAN JOURNAL OF IMMUNOLOGY</t>
  </si>
  <si>
    <t>SCANDINAVIAN JOURNAL OF LABORATORY ANIMAL SCIENCE</t>
  </si>
  <si>
    <t>SCANDINAVIAN JOURNAL OF MEDICINE &amp; SCIENCE IN SPORTS</t>
  </si>
  <si>
    <t>SCANDINAVIAN JOURNAL OF PRIMARY HEALTH CARE</t>
  </si>
  <si>
    <t>SCANDINAVIAN JOURNAL OF PUBLIC HEALTH</t>
  </si>
  <si>
    <t>SCANDINAVIAN JOURNAL OF RHEUMATOLOGY</t>
  </si>
  <si>
    <t>SCANDINAVIAN JOURNAL OF STATISTICS</t>
  </si>
  <si>
    <t>SCANDINAVIAN JOURNAL OF WORK ENVIRONMENT &amp; HEALTH</t>
  </si>
  <si>
    <t>SCHIZOPHRENIA RESEARCH</t>
  </si>
  <si>
    <t>SCHIZOPHRENIA BULLETIN</t>
  </si>
  <si>
    <t>SCHWEIZER ARCHIV FUR TIERHEILKUNDE</t>
  </si>
  <si>
    <t>SCIENTIFIC AMERICAN</t>
  </si>
  <si>
    <t>SCIENCE IN CONTEXT</t>
  </si>
  <si>
    <t>SCIENCE AND ENGINEERING ETHICS</t>
  </si>
  <si>
    <t>SCIENCE &amp; JUSTICE</t>
  </si>
  <si>
    <t>SCIENCE &amp; SPORTS</t>
  </si>
  <si>
    <t>SCOTTISH MEDICAL JOURNAL</t>
  </si>
  <si>
    <t>SEIZURE-EUROPEAN JOURNAL OF EPILEPSY</t>
  </si>
  <si>
    <t>SEMINARS IN ARTHRITIS AND RHEUMATISM</t>
  </si>
  <si>
    <t>SEMINARS IN CANCER BIOLOGY</t>
  </si>
  <si>
    <t>SEMINARS IN CELL &amp; DEVELOPMENTAL BIOLOGY</t>
  </si>
  <si>
    <t>SEMINARS IN DIAGNOSTIC PATHOLOGY</t>
  </si>
  <si>
    <t>SEMINARS IN DIALYSIS</t>
  </si>
  <si>
    <t>SEMINARS IN HEMATOLOGY</t>
  </si>
  <si>
    <t>SEMINARS IN IMMUNOLOGY</t>
  </si>
  <si>
    <t>SEMINARS IN LIVER DISEASE</t>
  </si>
  <si>
    <t>SEMINARS IN MUSCULOSKELETAL RADIOLOGY</t>
  </si>
  <si>
    <t>SEMINARS IN NEPHROLOGY</t>
  </si>
  <si>
    <t>SEMINARS IN NEUROLOGY</t>
  </si>
  <si>
    <t>SEMINARS IN NUCLEAR MEDICINE</t>
  </si>
  <si>
    <t>SEMINARS IN ONCOLOGY</t>
  </si>
  <si>
    <t>SEMINARS IN PERINATOLOGY</t>
  </si>
  <si>
    <t>SEMINARS IN RADIATION ONCOLOGY</t>
  </si>
  <si>
    <t>SEMINARS IN REPRODUCTIVE MEDICINE</t>
  </si>
  <si>
    <t>SEMINARS IN RESPIRATORY AND CRITICAL CARE MEDICINE</t>
  </si>
  <si>
    <t>SEMINARS IN ROENTGENOLOGY</t>
  </si>
  <si>
    <t>SEMINARS IN THROMBOSIS AND HEMOSTASIS</t>
  </si>
  <si>
    <t>SEMINARS IN ULTRASOUND CT AND MRI</t>
  </si>
  <si>
    <t>SENSORS AND ACTUATORS B-CHEMICAL</t>
  </si>
  <si>
    <t>SENSORS</t>
  </si>
  <si>
    <t>SEPARATION AND PURIFICATION REVIEWS</t>
  </si>
  <si>
    <t>SEPARATION SCIENCE AND TECHNOLOGY</t>
  </si>
  <si>
    <t>SEXUALLY TRANSMITTED DISEASES</t>
  </si>
  <si>
    <t>SEXUALLY TRANSMITTED INFECTIONS</t>
  </si>
  <si>
    <t>SHOCK AND VIBRATION</t>
  </si>
  <si>
    <t>SILVAE GENETICA</t>
  </si>
  <si>
    <t>SKELETAL RADIOLOGY</t>
  </si>
  <si>
    <t>SKIN PHARMACOLOGY AND PHYSIOLOGY</t>
  </si>
  <si>
    <t>SKIN RESEARCH AND TECHNOLOGY</t>
  </si>
  <si>
    <t>SLEEP MEDICINE</t>
  </si>
  <si>
    <t>SLEEP MEDICINE REVIEWS</t>
  </si>
  <si>
    <t>Small</t>
  </si>
  <si>
    <t>Smart Structures and Systems</t>
  </si>
  <si>
    <t>SOCIETY &amp; ANIMALS</t>
  </si>
  <si>
    <t>SOCIAL HISTORY OF MEDICINE</t>
  </si>
  <si>
    <t>SOCIAL STUDIES OF SCIENCE</t>
  </si>
  <si>
    <t>SOCIOLOGY OF SPORT JOURNAL</t>
  </si>
  <si>
    <t>SOLVENT EXTRACTION AND ION EXCHANGE</t>
  </si>
  <si>
    <t>SOLVENT EXTRACTION RESEARCH AND DEVELOPMENT-JAPAN</t>
  </si>
  <si>
    <t>SOMATOSENSORY AND MOTOR RESEARCH</t>
  </si>
  <si>
    <t>SOUTHERN MEDICAL JOURNAL</t>
  </si>
  <si>
    <t>SPEECH COMMUNICATION</t>
  </si>
  <si>
    <t>SPORT EDUCATION AND SOCIETY</t>
  </si>
  <si>
    <t>SPORT PSYCHOLOGIST</t>
  </si>
  <si>
    <t>SPORTS MEDICINE</t>
  </si>
  <si>
    <t>SPORTS MEDICINE AND ARTHROSCOPY REVIEW</t>
  </si>
  <si>
    <t>SPORTVERLETZUNG-SPORTSCHADEN</t>
  </si>
  <si>
    <t>STATISTICS AND COMPUTING</t>
  </si>
  <si>
    <t>STATISTICS IN MEDICINE</t>
  </si>
  <si>
    <t>STATISTICAL METHODS IN MEDICAL RESEARCH</t>
  </si>
  <si>
    <t>STATISTICAL MODELLING</t>
  </si>
  <si>
    <t>STATISTICA NEERLANDICA</t>
  </si>
  <si>
    <t>STATISTICAL PAPERS</t>
  </si>
  <si>
    <t>STATISTICS &amp; PROBABILITY LETTERS</t>
  </si>
  <si>
    <t>STATISTICAL SCIENCE</t>
  </si>
  <si>
    <t>STATISTICA SINICA</t>
  </si>
  <si>
    <t>STEM CELLS AND DEVELOPMENT</t>
  </si>
  <si>
    <t>STEREOTACTIC AND FUNCTIONAL NEUROSURGERY</t>
  </si>
  <si>
    <t>STOCHASTIC ANALYSIS AND APPLICATIONS</t>
  </si>
  <si>
    <t>STOCHASTIC ENVIRONMENTAL RESEARCH AND RISK ASSESSMENT</t>
  </si>
  <si>
    <t>STOCHASTIC MODELS</t>
  </si>
  <si>
    <t>STOCHASTIC PROCESSES AND THEIR APPLICATIONS</t>
  </si>
  <si>
    <t>STRAHLENTHERAPIE UND ONKOLOGIE</t>
  </si>
  <si>
    <t>STRESS-THE INTERNATIONAL JOURNAL ON THE BIOLOGY OF STRESS</t>
  </si>
  <si>
    <t>STRESS AND HEALTH</t>
  </si>
  <si>
    <t>STROJNISKI VESTNIK-JOURNAL OF MECHANICAL ENGINEERING</t>
  </si>
  <si>
    <t>STRUCTURAL CHEMISTRY</t>
  </si>
  <si>
    <t>STRUCTURAL ENGINEERING AND MECHANICS</t>
  </si>
  <si>
    <t>Structure and Infrastructure Engineering</t>
  </si>
  <si>
    <t>STUDIES IN CONSERVATION</t>
  </si>
  <si>
    <t>STUDIES IN HISTORY AND PHILOSOPHY OF MODERN PHYSICS</t>
  </si>
  <si>
    <t>STUDIES IN HISTORY AND PHILOSOPHY OF SCIENCE</t>
  </si>
  <si>
    <t>STUDIES IN MYCOLOGY</t>
  </si>
  <si>
    <t>SUBSTANCE USE &amp; MISUSE</t>
  </si>
  <si>
    <t>SUPPORTIVE CARE IN CANCER</t>
  </si>
  <si>
    <t>SUPRAMOLECULAR CHEMISTRY</t>
  </si>
  <si>
    <t>SURGICAL CLINICS OF NORTH AMERICA</t>
  </si>
  <si>
    <t>SURGICAL ENDOSCOPY AND OTHER INTERVENTIONAL TECHNIQUES</t>
  </si>
  <si>
    <t>SURGICAL LAPAROSCOPY ENDOSCOPY &amp; PERCUTANEOUS TECHNIQUES</t>
  </si>
  <si>
    <t>SURGICAL ONCOLOGY-OXFORD</t>
  </si>
  <si>
    <t>SURGICAL AND RADIOLOGIC ANATOMY</t>
  </si>
  <si>
    <t>SURGERY TODAY</t>
  </si>
  <si>
    <t>SURGEON-JOURNAL OF THE ROYAL COLLEGES OF SURGEONS OF EDINBURGH AND IRELAND</t>
  </si>
  <si>
    <t>SURVEY OF OPHTHALMOLOGY</t>
  </si>
  <si>
    <t>SWISS MEDICAL WEEKLY</t>
  </si>
  <si>
    <t>SYNTHETIC COMMUNICATIONS</t>
  </si>
  <si>
    <t>SYSTEMATIC AND APPLIED MICROBIOLOGY</t>
  </si>
  <si>
    <t>SYSTEMATIC PARASITOLOGY</t>
  </si>
  <si>
    <t>TRANSACTIONS OF THE CANADIAN SOCIETY FOR MECHANICAL ENGINEERING</t>
  </si>
  <si>
    <t>TRANSACTIONS OF THE ROYAL SOCIETY OF SOUTH AUSTRALIA</t>
  </si>
  <si>
    <t>TRANSACTIONS OF THE ROYAL SOCIETY OF TROPICAL MEDICINE AND HYGIENE</t>
  </si>
  <si>
    <t>TEACHING AND LEARNING IN MEDICINE</t>
  </si>
  <si>
    <t>TECHNOLOGY ANALYSIS &amp; STRATEGIC MANAGEMENT</t>
  </si>
  <si>
    <t>TECHNOLOGY IN CANCER RESEARCH &amp; TREATMENT</t>
  </si>
  <si>
    <t>TECHNOLOGY AND CULTURE</t>
  </si>
  <si>
    <t>TERAPEVTICHESKII ARKHIV</t>
  </si>
  <si>
    <t>TETRAHEDRON LETTERS</t>
  </si>
  <si>
    <t>TEXAS HEART INSTITUTE JOURNAL</t>
  </si>
  <si>
    <t>THEORETICAL AND APPLIED FRACTURE MECHANICS</t>
  </si>
  <si>
    <t>THEORETICAL AND APPLIED GENETICS</t>
  </si>
  <si>
    <t>THEORY IN BIOSCIENCES</t>
  </si>
  <si>
    <t>THEORETICAL POPULATION BIOLOGY</t>
  </si>
  <si>
    <t>THEORY OF PROBABILITY AND ITS APPLICATIONS</t>
  </si>
  <si>
    <t>THERAPEUTIC APHERESIS AND DIALYSIS</t>
  </si>
  <si>
    <t>THERAPEUTIC DRUG MONITORING</t>
  </si>
  <si>
    <t>THERMOCHIMICA ACTA</t>
  </si>
  <si>
    <t>THORACIC AND CARDIOVASCULAR SURGEON</t>
  </si>
  <si>
    <t>THROMBOSIS AND HAEMOSTASIS</t>
  </si>
  <si>
    <t>THROMBOSIS RESEARCH</t>
  </si>
  <si>
    <t>TIERAERZTLICHE UMSCHAU</t>
  </si>
  <si>
    <t>TISSUE &amp; CELL</t>
  </si>
  <si>
    <t>TOBACCO CONTROL</t>
  </si>
  <si>
    <t>TOHOKU JOURNAL OF EXPERIMENTAL MEDICINE</t>
  </si>
  <si>
    <t>TOXICOLOGY AND APPLIED PHARMACOLOGY</t>
  </si>
  <si>
    <t>TOXICOLOGY IN VITRO</t>
  </si>
  <si>
    <t>TOXICOLOGY AND INDUSTRIAL HEALTH</t>
  </si>
  <si>
    <t>TOXICOLOGY LETTERS</t>
  </si>
  <si>
    <t>TOXICOLOGY MECHANISMS AND METHODS</t>
  </si>
  <si>
    <t>TOXICOLOGIC PATHOLOGY</t>
  </si>
  <si>
    <t>TOXICOLOGICAL SCIENCES</t>
  </si>
  <si>
    <t>Toxin Reviews</t>
  </si>
  <si>
    <t>TRACE ELEMENTS AND ELECTROLYTES</t>
  </si>
  <si>
    <t>TRAC-TRENDS IN ANALYTICAL CHEMISTRY</t>
  </si>
  <si>
    <t>TRANSFUSION AND APHERESIS SCIENCE</t>
  </si>
  <si>
    <t>TRANSFUSION CLINIQUE ET BIOLOGIQUE</t>
  </si>
  <si>
    <t>TRANSFUSION MEDICINE AND HEMOTHERAPY</t>
  </si>
  <si>
    <t>TRANSFUSION MEDICINE REVIEWS</t>
  </si>
  <si>
    <t>TRANSFUSION MEDICINE</t>
  </si>
  <si>
    <t>TRANSGENIC RESEARCH</t>
  </si>
  <si>
    <t>Translational Research</t>
  </si>
  <si>
    <t>TRANSPLANT IMMUNOLOGY</t>
  </si>
  <si>
    <t>TRANSPLANT INTERNATIONAL</t>
  </si>
  <si>
    <t>TRANSPLANTATION PROCEEDINGS</t>
  </si>
  <si>
    <t>TRAVAIL HUMAIN</t>
  </si>
  <si>
    <t>TRENDS IN BIOCHEMICAL SCIENCES</t>
  </si>
  <si>
    <t>TRENDS IN BIOTECHNOLOGY</t>
  </si>
  <si>
    <t>TRENDS IN CARDIOVASCULAR MEDICINE</t>
  </si>
  <si>
    <t>TRENDS IN CELL BIOLOGY</t>
  </si>
  <si>
    <t>TRENDS IN COGNITIVE SCIENCES</t>
  </si>
  <si>
    <t>TRENDS IN ECOLOGY &amp; EVOLUTION</t>
  </si>
  <si>
    <t>TRENDS IN ENDOCRINOLOGY AND METABOLISM</t>
  </si>
  <si>
    <t>TRENDS IN GENETICS</t>
  </si>
  <si>
    <t>TRENDS IN GLYCOSCIENCE AND GLYCOTECHNOLOGY</t>
  </si>
  <si>
    <t>TRENDS IN IMMUNOLOGY</t>
  </si>
  <si>
    <t>TRENDS IN MICROBIOLOGY</t>
  </si>
  <si>
    <t>TRENDS IN MOLECULAR MEDICINE</t>
  </si>
  <si>
    <t>TRENDS IN NEUROSCIENCES</t>
  </si>
  <si>
    <t>TRENDS IN PARASITOLOGY</t>
  </si>
  <si>
    <t>TRENDS IN PHARMACOLOGICAL SCIENCES</t>
  </si>
  <si>
    <t>Trials</t>
  </si>
  <si>
    <t>TRIBOLOGY INTERNATIONAL</t>
  </si>
  <si>
    <t>TRIBOLOGY LETTERS</t>
  </si>
  <si>
    <t>TRIBOLOGY TRANSACTIONS</t>
  </si>
  <si>
    <t>TROPICAL ANIMAL HEALTH AND PRODUCTION</t>
  </si>
  <si>
    <t>TROPICAL DOCTOR</t>
  </si>
  <si>
    <t>TROPICAL MEDICINE &amp; INTERNATIONAL HEALTH</t>
  </si>
  <si>
    <t>TURKISH JOURNAL OF CHEMISTRY</t>
  </si>
  <si>
    <t>TURKISH JOURNAL OF VETERINARY &amp; ANIMAL SCIENCES</t>
  </si>
  <si>
    <t>TURKISH JOURNAL OF PEDIATRICS</t>
  </si>
  <si>
    <t>Twin Research and Human Genetics</t>
  </si>
  <si>
    <t>ULTRASCHALL IN DER MEDIZIN</t>
  </si>
  <si>
    <t>ULTRASONICS SONOCHEMISTRY</t>
  </si>
  <si>
    <t>ULTRASOUND IN MEDICINE AND BIOLOGY</t>
  </si>
  <si>
    <t>ULTRASOUND IN OBSTETRICS &amp; GYNECOLOGY</t>
  </si>
  <si>
    <t>ULTRASTRUCTURAL PATHOLOGY</t>
  </si>
  <si>
    <t>UPSALA JOURNAL OF MEDICAL SCIENCES</t>
  </si>
  <si>
    <t>UROLOGIC CLINICS OF NORTH AMERICA</t>
  </si>
  <si>
    <t>UROLOGIA INTERNATIONALIS</t>
  </si>
  <si>
    <t>UROLOGIC ONCOLOGY-SEMINARS AND ORIGINAL INVESTIGATIONS</t>
  </si>
  <si>
    <t>VALUE IN HEALTH</t>
  </si>
  <si>
    <t>VASCULAR MEDICINE</t>
  </si>
  <si>
    <t>VASCULAR PHARMACOLOGY</t>
  </si>
  <si>
    <t>VECTOR-BORNE AND ZOONOTIC DISEASES</t>
  </si>
  <si>
    <t>VEHICLE SYSTEM DYNAMICS</t>
  </si>
  <si>
    <t>VETERINARY ANAESTHESIA AND ANALGESIA</t>
  </si>
  <si>
    <t>VETERINARY CLINICS OF NORTH AMERICA-EQUINE PRACTICE</t>
  </si>
  <si>
    <t>VETERINARY CLINICS OF NORTH AMERICA-FOOD ANIMAL PRACTICE</t>
  </si>
  <si>
    <t>VETERINARY CLINICS OF NORTH AMERICA-SMALL ANIMAL PRACTICE</t>
  </si>
  <si>
    <t>VETERINARY CLINICAL PATHOLOGY</t>
  </si>
  <si>
    <t>VETERINARY AND COMPARATIVE ORTHOPAEDICS AND TRAUMATOLOGY</t>
  </si>
  <si>
    <t>VETERINARY DERMATOLOGY</t>
  </si>
  <si>
    <t>VETERINARY IMMUNOLOGY AND IMMUNOPATHOLOGY</t>
  </si>
  <si>
    <t>VETERINARY JOURNAL</t>
  </si>
  <si>
    <t>VETERINARNI MEDICINA</t>
  </si>
  <si>
    <t>VETERINARY MICROBIOLOGY</t>
  </si>
  <si>
    <t>VETERINARY OPHTHALMOLOGY</t>
  </si>
  <si>
    <t>VETERINARY PARASITOLOGY</t>
  </si>
  <si>
    <t>VETERINARY PATHOLOGY</t>
  </si>
  <si>
    <t>VETERINARY QUARTERLY</t>
  </si>
  <si>
    <t>VETERINARY RADIOLOGY &amp; ULTRASOUND</t>
  </si>
  <si>
    <t>VETERINARY RECORD</t>
  </si>
  <si>
    <t>VETERINARY RESEARCH</t>
  </si>
  <si>
    <t>VETERINARY RESEARCH COMMUNICATIONS</t>
  </si>
  <si>
    <t>VETERINARY SURGERY</t>
  </si>
  <si>
    <t>VIBRATIONAL SPECTROSCOPY</t>
  </si>
  <si>
    <t>VIRAL IMMUNOLOGY</t>
  </si>
  <si>
    <t>VIRCHOWS ARCHIV</t>
  </si>
  <si>
    <t>VIRUS RESEARCH</t>
  </si>
  <si>
    <t>VISION RESEARCH</t>
  </si>
  <si>
    <t>VISUAL NEUROSCIENCE</t>
  </si>
  <si>
    <t>VLAAMS DIERGENEESKUNDIG TIJDSCHRIFT</t>
  </si>
  <si>
    <t>VOX SANGUINIS</t>
  </si>
  <si>
    <t>WEST INDIAN MEDICAL JOURNAL</t>
  </si>
  <si>
    <t>WESTERN JOURNAL OF NURSING RESEARCH</t>
  </si>
  <si>
    <t>WIENER KLINISCHE WOCHENSCHRIFT</t>
  </si>
  <si>
    <t>WIENER TIERARZTLICHE MONATSSCHRIFT</t>
  </si>
  <si>
    <t>WILDERNESS &amp; ENVIRONMENTAL MEDICINE</t>
  </si>
  <si>
    <t>WORLD JOURNAL OF BIOLOGICAL PSYCHIATRY</t>
  </si>
  <si>
    <t>WORLD JOURNAL OF MICROBIOLOGY &amp; BIOTECHNOLOGY</t>
  </si>
  <si>
    <t>WORLD JOURNAL OF SURGERY</t>
  </si>
  <si>
    <t>WORLD JOURNAL OF UROLOGY</t>
  </si>
  <si>
    <t>WOUND REPAIR AND REGENERATION</t>
  </si>
  <si>
    <t>WOUNDS-A COMPENDIUM OF CLINICAL RESEARCH AND PRACTICE</t>
  </si>
  <si>
    <t>YAKUGAKU ZASSHI-JOURNAL OF THE PHARMACEUTICAL SOCIETY OF JAPAN</t>
  </si>
  <si>
    <t>YONSEI MEDICAL JOURNAL</t>
  </si>
  <si>
    <t>ZEITSCHRIFT FUR GASTROENTEROLOGIE</t>
  </si>
  <si>
    <t>ZEITSCHRIFT FUR GERONTOLOGIE UND GERIATRIE</t>
  </si>
  <si>
    <t>ZEITSCHRIFT FUR NATURFORSCHUNG SECTION B-A JOURNAL OF CHEMICAL SCIENCES</t>
  </si>
  <si>
    <t>ZEITSCHRIFT FUR PSYCHOSOMATISCHE MEDIZIN UND PSYCHOTHERAPIE</t>
  </si>
  <si>
    <t>ZEITSCHRIFT FUR RHEUMATOLOGIE</t>
  </si>
  <si>
    <t>ZENTRALBLATT FUR CHIRURGIE</t>
  </si>
  <si>
    <t>ZHURNAL OBSHCHEI BIOLOGII</t>
  </si>
  <si>
    <t>ZHURNAL VYSSHEI NERVNOI DEYATELNOSTI IMENI I P PAVLOVA</t>
  </si>
  <si>
    <t>ZOO BIOLOGY</t>
  </si>
  <si>
    <t>INTERNATIONAL JOURNAL OF ONCOLOGY</t>
  </si>
  <si>
    <t>INTERNATIONAL JOURNAL OF ORAL &amp; MAXILLOFACIAL IMPLANTS</t>
  </si>
  <si>
    <t>INTERNATIONAL JOURNAL OF ORAL AND MAXILLOFACIAL SURGERY</t>
  </si>
  <si>
    <t>INTERNATIONAL JOURNAL FOR PARASITOLOGY</t>
  </si>
  <si>
    <t>INTERNATIONAL JOURNAL OF PEDIATRIC OTORHINOLARYNGOLOGY</t>
  </si>
  <si>
    <t>International Journal of Peptide Research and Therapeutics</t>
  </si>
  <si>
    <t>INTERNATIONAL JOURNAL OF PERIODONTICS &amp; RESTORATIVE DENTISTRY</t>
  </si>
  <si>
    <t>INTERNATIONAL JOURNAL OF PHARMACEUTICS</t>
  </si>
  <si>
    <t>INTERNATIONAL JOURNAL OF PHOTOENERGY</t>
  </si>
  <si>
    <t>INTERNATIONAL JOURNAL OF PLASTICITY</t>
  </si>
  <si>
    <t>INTERNATIONAL JOURNAL OF PRESSURE VESSELS AND PIPING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</si>
  <si>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</si>
  <si>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</si>
  <si>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</si>
  <si>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PSYCHOPHYSIOLOGY</t>
  </si>
  <si>
    <t>INTERNATIONAL JOURNAL FOR QUALITY IN HEALTH CARE</t>
  </si>
  <si>
    <t>INTERNATIONAL JOURNAL OF RADIATION BIOLOGY</t>
  </si>
  <si>
    <t>INTERNATIONAL JOURNAL OF RADIATION ONCOLOGY BIOLOGY PHYSICS</t>
  </si>
  <si>
    <t>INTERNATIONAL JOURNAL OF REFRIGERATION-REVUE INTERNATIONALE DU FROID</t>
  </si>
  <si>
    <t>INTERNATIONAL JOURNAL OF SPORT NUTRITION AND EXERCISE METABOLISM</t>
  </si>
  <si>
    <t>INTERNATIONAL JOURNAL OF SPORT PSYCHOLOGY</t>
  </si>
  <si>
    <t>INTERNATIONAL JOURNAL OF SPORTS MEDICINE</t>
  </si>
  <si>
    <t>INTERNATIONAL JOURNAL OF STD &amp; AIDS</t>
  </si>
  <si>
    <t>INTERNATIONAL JOURNAL OF SURGICAL PATHOLOGY</t>
  </si>
  <si>
    <t>INTERNATIONAL JOURNAL OF SYSTEMATIC AND EVOLUTIONARY MICROBIOLOGY</t>
  </si>
  <si>
    <t>INTERNATIONAL JOURNAL OF TECHNOLOGY ASSESSMENT IN HEALTH CARE</t>
  </si>
  <si>
    <t>INTERNATIONAL JOURNAL OF TECHNOLOGY AND DESIGN EDUCATION</t>
  </si>
  <si>
    <t>INTERNATIONAL JOURNAL OF THERMAL SCIENCES</t>
  </si>
  <si>
    <t>INTERNATIONAL JOURNAL OF TOXICOLOGY</t>
  </si>
  <si>
    <t>INTERNATIONAL JOURNAL OF TUBERCULOSIS AND LUNG DISEASE</t>
  </si>
  <si>
    <t>ACAD PSYCHIATR</t>
  </si>
  <si>
    <t>ACADEMIC PSYCHIATRY</t>
  </si>
  <si>
    <t>ACCIDENT ANAL PREV</t>
  </si>
  <si>
    <t>ACCIDENT ANALYSIS AND PREVENTION</t>
  </si>
  <si>
    <t>ACOUST AUST</t>
  </si>
  <si>
    <t>Acoustics Australia</t>
  </si>
  <si>
    <t>ACS NANO</t>
  </si>
  <si>
    <t>ACS Nano</t>
  </si>
  <si>
    <t>ACTA BIOETH</t>
  </si>
  <si>
    <t>Acta Bioethica</t>
  </si>
  <si>
    <t>ACTA BIOMATER</t>
  </si>
  <si>
    <t>Acta Biomaterialia</t>
  </si>
  <si>
    <t>ACTA CARDIOL SIN</t>
  </si>
  <si>
    <t>Acta Cardiologica Sinica</t>
  </si>
  <si>
    <t>ACTA CHIR ORTHOP TR</t>
  </si>
  <si>
    <t>Acta Chirurgiae Orthopaedicae et Traumatologiae Cechoslovaca</t>
  </si>
  <si>
    <t>ACTA CIR BRAS</t>
  </si>
  <si>
    <t>Acta Cirurgica Brasileira</t>
  </si>
  <si>
    <t>ACTA CLIN CROAT</t>
  </si>
  <si>
    <t>Acta Clinica Croatica</t>
  </si>
  <si>
    <t>ACTA CRYSTALLOGR F</t>
  </si>
  <si>
    <t>ACTA DERMATOVENER CR</t>
  </si>
  <si>
    <t>Acta Dermatovenerologica Croatica</t>
  </si>
  <si>
    <t>ACTA ENDOCRINOL-BUCH</t>
  </si>
  <si>
    <t>Acta Endocrinologica-Bucharest</t>
  </si>
  <si>
    <t>ACTA MECH SINICA-PRC</t>
  </si>
  <si>
    <t>ACTA MEDICA MEDITERR</t>
  </si>
  <si>
    <t>Acta Medica Mediterranea</t>
  </si>
  <si>
    <t>ACTA OPHTHALMOL</t>
  </si>
  <si>
    <t>ACTA OPHTHALMOLOGICA</t>
  </si>
  <si>
    <t>ACTA ORTHOP BELG</t>
  </si>
  <si>
    <t>Acta Orthopaedica Belgica</t>
  </si>
  <si>
    <t>ACTA POL PHARM</t>
  </si>
  <si>
    <t>ACTA POLONIAE PHARMACEUTICA</t>
  </si>
  <si>
    <t>ACTA PSYCHOL</t>
  </si>
  <si>
    <t>ACTA PSYCHOLOGICA</t>
  </si>
  <si>
    <t>ACTA REUMATOL PORT</t>
  </si>
  <si>
    <t>Acta Reumatologica Portuguesa</t>
  </si>
  <si>
    <t>ACTA SCI-TECHNOL</t>
  </si>
  <si>
    <t>ACTA SCIENTIARUM-TECHNOLOGY</t>
  </si>
  <si>
    <t>ACTES RECH SCI SOC</t>
  </si>
  <si>
    <t>ACTES DE LA RECHERCHE EN SCIENCES SOCIALES</t>
  </si>
  <si>
    <t>ADAPT BEHAV</t>
  </si>
  <si>
    <t>ADAPTIVE BEHAVIOR</t>
  </si>
  <si>
    <t>ADDICT BEHAV</t>
  </si>
  <si>
    <t>ADDICTIVE BEHAVIORS</t>
  </si>
  <si>
    <t>ADDICT RES THEORY</t>
  </si>
  <si>
    <t>ADDICTION RESEARCH &amp; THEORY</t>
  </si>
  <si>
    <t>ADM POLICY MENT HLTH</t>
  </si>
  <si>
    <t>ADV CHILD DEV BEHAV</t>
  </si>
  <si>
    <t>ADV CLIN EXP MED</t>
  </si>
  <si>
    <t>Advances in Clinical and Experimental Medicine</t>
  </si>
  <si>
    <t>ADV ENG SOFTW</t>
  </si>
  <si>
    <t>ADVANCES IN ENGINEERING SOFTWARE</t>
  </si>
  <si>
    <t>ADV FUNCT MATER</t>
  </si>
  <si>
    <t>ADVANCED FUNCTIONAL MATERIALS</t>
  </si>
  <si>
    <t>AEROBIOLOGIA</t>
  </si>
  <si>
    <t>AFFILIA J WOM SOC WO</t>
  </si>
  <si>
    <t>AFFILIA-JOURNAL OF WOMEN AND SOCIAL WORK</t>
  </si>
  <si>
    <t>AGGRESS VIOLENT BEH</t>
  </si>
  <si>
    <t>AGGRESSION AND VIOLENT BEHAVIOR</t>
  </si>
  <si>
    <t>AGGRESSIVE BEHAV</t>
  </si>
  <si>
    <t>AGGRESSIVE BEHAVIOR</t>
  </si>
  <si>
    <t>AGING MALE</t>
  </si>
  <si>
    <t>Aging Male</t>
  </si>
  <si>
    <t>AGING NEUROPSYCHOL C</t>
  </si>
  <si>
    <t>AGING NEUROPSYCHOLOGY AND COGNITION</t>
  </si>
  <si>
    <t>AI EDAM</t>
  </si>
  <si>
    <t>JOURNAL OF APPLIED BIOMECHANICS</t>
  </si>
  <si>
    <t>JOURNAL OF APPLIED MICROBIOLOGY</t>
  </si>
  <si>
    <t>JOURNAL OF APPLIED PHYCOLOGY</t>
  </si>
  <si>
    <t>JOURNAL OF APPLIED PHYSIOLOGY</t>
  </si>
  <si>
    <t>JOURNAL OF APPLIED PROBABILITY</t>
  </si>
  <si>
    <t>JOURNAL OF APPLIED SPORT PSYCHOLOGY</t>
  </si>
  <si>
    <t>JOURNAL OF APPLIED STATISTICS</t>
  </si>
  <si>
    <t>JOURNAL OF APPLIED TOXICOLOGY</t>
  </si>
  <si>
    <t>JOURNAL OF AQUATIC ANIMAL HEALTH</t>
  </si>
  <si>
    <t>JOURNAL OF ARTHROPLASTY</t>
  </si>
  <si>
    <t>JOURNAL OF ASIAN NATURAL PRODUCTS RESEARCH</t>
  </si>
  <si>
    <t>JOURNAL OF ASSISTED REPRODUCTION AND GENETICS</t>
  </si>
  <si>
    <t>JANAC-JOURNAL OF THE ASSOCIATION OF NURSES IN AIDS CARE</t>
  </si>
  <si>
    <t>JOURNAL OF ASTHMA</t>
  </si>
  <si>
    <t>JOURNAL OF ATHLETIC TRAINING</t>
  </si>
  <si>
    <t>JOURNAL OF THE AUDIO ENGINEERING SOCIETY</t>
  </si>
  <si>
    <t>JOURNAL OF AUTOIMMUNITY</t>
  </si>
  <si>
    <t>JOURNAL OF AVIAN MEDICINE AND SURGERY</t>
  </si>
  <si>
    <t>JOURNAL OF BACK AND MUSCULOSKELETAL REHABILITATION</t>
  </si>
  <si>
    <t>JOURNAL OF BACTERIOLOGY</t>
  </si>
  <si>
    <t>JOURNAL OF BASIC MICROBIOLOGY</t>
  </si>
  <si>
    <t>JOURNAL OF BIOACTIVE AND COMPATIBLE POLYMERS</t>
  </si>
  <si>
    <t>JOURNAL OF BIOCHEMISTRY</t>
  </si>
  <si>
    <t>JOURNAL OF BIOCHEMICAL AND MOLECULAR TOXICOLOGY</t>
  </si>
  <si>
    <t>JOURNAL OF BIOENERGETICS AND BIOMEMBRANES</t>
  </si>
  <si>
    <t>JOURNAL OF BIOLOGICAL CHEMISTRY</t>
  </si>
  <si>
    <t>JOURNAL OF BIOLOGICAL EDUCATION</t>
  </si>
  <si>
    <t>JOURNAL OF BIOLOGICAL INORGANIC CHEMISTRY</t>
  </si>
  <si>
    <t>JOURNAL OF BIOLOGICAL PHYSICS</t>
  </si>
  <si>
    <t>JOURNAL OF BIOLOGICAL REGULATORS AND HOMEOSTATIC AGENTS</t>
  </si>
  <si>
    <t>JOURNAL OF BIOLOGICAL RHYTHMS</t>
  </si>
  <si>
    <t>JOURNAL OF BIOLOGICAL SYSTEMS</t>
  </si>
  <si>
    <t>JOURNAL OF BIOMATERIALS SCIENCE-POLYMER EDITION</t>
  </si>
  <si>
    <t>JOURNAL OF BIOMATERIALS APPLICATIONS</t>
  </si>
  <si>
    <t>JOURNAL OF BIOMECHANICS</t>
  </si>
  <si>
    <t>JOURNAL OF BIOMECHANICAL ENGINEERING-TRANSACTIONS OF THE ASME</t>
  </si>
  <si>
    <t>JOURNAL OF BIOMEDICAL INFORMATICS</t>
  </si>
  <si>
    <t>JOURNAL OF BIOMEDICAL MATERIALS RESEARCH PART A</t>
  </si>
  <si>
    <t>JOURNAL OF BIOMEDICAL MATERIALS RESEARCH PART B-APPLIED BIOMATERIALS</t>
  </si>
  <si>
    <t>JOURNAL OF BIOMEDICAL OPTICS</t>
  </si>
  <si>
    <t>JOURNAL OF BIOMEDICAL SCIENCE</t>
  </si>
  <si>
    <t>JOURNAL OF BIOMOLECULAR NMR</t>
  </si>
  <si>
    <t>JOURNAL OF BIOSCIENCE AND BIOENGINEERING</t>
  </si>
  <si>
    <t>JOURNAL OF BIOSCIENCES</t>
  </si>
  <si>
    <t>JOURNAL OF BIOTECHNOLOGY</t>
  </si>
  <si>
    <t>JOURNAL OF BONE AND JOINT SURGERY-AMERICAN VOLUME</t>
  </si>
  <si>
    <t>JOURNAL OF BONE AND MINERAL METABOLISM</t>
  </si>
  <si>
    <t>JOURNAL OF BONE AND MINERAL RESEARCH</t>
  </si>
  <si>
    <t>JOURNAL OF THE BRAZILIAN CHEMICAL SOCIETY</t>
  </si>
  <si>
    <t>Journal of Burn Care &amp; Research</t>
  </si>
  <si>
    <t>JOURNAL OF BUSINESS &amp; ECONOMIC STATISTICS</t>
  </si>
  <si>
    <t>JOURNAL OF CAMEL PRACTICE AND RESEARCH</t>
  </si>
  <si>
    <t>JOURNAL OF CANCER EDUCATION</t>
  </si>
  <si>
    <t>JOURNAL OF CANCER RESEARCH AND CLINICAL ONCOLOGY</t>
  </si>
  <si>
    <t>JOURNAL OF CARBOHYDRATE CHEMISTRY</t>
  </si>
  <si>
    <t>JOURNAL OF CARDIAC FAILURE</t>
  </si>
  <si>
    <t>JOURNAL OF CARDIAC SURGERY</t>
  </si>
  <si>
    <t>JOURNAL OF CARDIOTHORACIC AND VASCULAR ANESTHESIA</t>
  </si>
  <si>
    <t>JOURNAL OF CARDIOVASCULAR MAGNETIC RESONANCE</t>
  </si>
  <si>
    <t>JOURNAL OF CARDIOVASCULAR PHARMACOLOGY</t>
  </si>
  <si>
    <t>JOURNAL OF CARDIOVASCULAR PHARMACOLOGY AND THERAPEUTICS</t>
  </si>
  <si>
    <t>JOURNAL OF CARDIOVASCULAR SURGERY</t>
  </si>
  <si>
    <t>JOURNAL OF CATARACT AND REFRACTIVE SURGERY</t>
  </si>
  <si>
    <t>JOURNAL OF CELLULAR BIOCHEMISTRY</t>
  </si>
  <si>
    <t>JOURNAL OF CELL BIOLOGY</t>
  </si>
  <si>
    <t>JOURNAL OF CELLULAR AND MOLECULAR MEDICINE</t>
  </si>
  <si>
    <t>JOURNAL OF CELLULAR PHYSIOLOGY</t>
  </si>
  <si>
    <t>JOURNAL OF CELL SCIENCE</t>
  </si>
  <si>
    <t>JOURNAL OF CEREBRAL BLOOD FLOW AND METABOLISM</t>
  </si>
  <si>
    <t>JOURNAL OF CHEMICAL ECOLOGY</t>
  </si>
  <si>
    <t>JOURNAL OF CHEMICAL EDUCATION</t>
  </si>
  <si>
    <t>JOURNAL OF CHEMICAL AND ENGINEERING DATA</t>
  </si>
  <si>
    <t>Journal of Chemical Information and Modeling</t>
  </si>
  <si>
    <t>JOURNAL OF CHEMICAL NEUROANATOMY</t>
  </si>
  <si>
    <t>JOURNAL OF CHEMICAL SCIENCES</t>
  </si>
  <si>
    <t>JOURNAL OF THE CHEMICAL SOCIETY OF PAKISTAN</t>
  </si>
  <si>
    <t>JOURNAL OF CHEMICAL TECHNOLOGY AND BIOTECHNOLOGY</t>
  </si>
  <si>
    <t>Journal of Chemical Theory and Computation</t>
  </si>
  <si>
    <t>JOURNAL OF CHEMOMETRICS</t>
  </si>
  <si>
    <t>JOURNAL OF CHEMOTHERAPY</t>
  </si>
  <si>
    <t>JOURNAL OF THE CHILEAN CHEMICAL SOCIETY</t>
  </si>
  <si>
    <t>JOURNAL OF CHILD AND ADOLESCENT PSYCHOPHARMACOLOGY</t>
  </si>
  <si>
    <t>JOURNAL OF CHILD NEUROLOGY</t>
  </si>
  <si>
    <t>JOURNAL OF THE CHINESE CHEMICAL SOCIETY</t>
  </si>
  <si>
    <t>JOURNAL OF CHROMATOGRAPHY A</t>
  </si>
  <si>
    <t>JOURNAL OF CHROMATOGRAPHIC SCIENCE</t>
  </si>
  <si>
    <t>JOURNAL OF CLINICAL ANESTHESIA</t>
  </si>
  <si>
    <t>JOURNAL OF CLINICAL APHERESIS</t>
  </si>
  <si>
    <t>JOURNAL OF CLINICAL BIOCHEMISTRY AND NUTRITION</t>
  </si>
  <si>
    <t>JOURNAL OF CLINICAL DENSITOMETRY</t>
  </si>
  <si>
    <t>JOURNAL OF CLINICAL EPIDEMIOLOGY</t>
  </si>
  <si>
    <t>JOURNAL OF CLINICAL AND EXPERIMENTAL NEUROPSYCHOLOGY</t>
  </si>
  <si>
    <t>JOURNAL OF CLINICAL GASTROENTEROLOGY</t>
  </si>
  <si>
    <t>JOURNAL OF CLINICAL IMMUNOLOGY</t>
  </si>
  <si>
    <t>JOURNAL OF CLINICAL INVESTIGATION</t>
  </si>
  <si>
    <t>JOURNAL OF CLINICAL LABORATORY ANALYSIS</t>
  </si>
  <si>
    <t>JOURNAL OF CLINICAL MICROBIOLOGY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</si>
  <si>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</si>
  <si>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</si>
  <si>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</si>
  <si>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</si>
  <si>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</si>
  <si>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PERIODONTOLOGY</t>
  </si>
  <si>
    <t>JOURNAL OF CLINICAL PHARMACY AND THERAPEUTICS</t>
  </si>
  <si>
    <t>JOURNAL OF CLINICAL PHARMACOLOGY</t>
  </si>
  <si>
    <t>JOURNAL OF CLINICAL PSYCHIATRY</t>
  </si>
  <si>
    <t>JOURNAL OF CLINICAL PSYCHOPHARMACOLOGY</t>
  </si>
  <si>
    <t>JOURNAL OF CLINICAL ULTRASOUND</t>
  </si>
  <si>
    <t>JOURNAL OF CLINICAL VIROLOGY</t>
  </si>
  <si>
    <t>JOURNAL OF COGNITIVE NEUROSCIENCE</t>
  </si>
  <si>
    <t>JOURNAL OF COMPARATIVE NEUROLOGY</t>
  </si>
  <si>
    <t>JOURNAL OF COMPARATIVE PATHOLOGY</t>
  </si>
  <si>
    <t>JOURNAL OF COMPARATIVE PSYCHOLOGY</t>
  </si>
  <si>
    <t>JOURNAL OF COMPUTER-AIDED MOLECULAR DESIGN</t>
  </si>
  <si>
    <t>JOURNAL OF COMPUTER ASSISTED TOMOGRAPHY</t>
  </si>
  <si>
    <t>JOURNAL OF COMPUTATIONAL BIOLOGY</t>
  </si>
  <si>
    <t>JOURNAL OF COMPUTATIONAL CHEMISTRY</t>
  </si>
  <si>
    <t>JOURNAL OF COMPUTATIONAL AND GRAPHICAL STATISTICS</t>
  </si>
  <si>
    <t>JOURNAL OF COMPUTATIONAL NEUROSCIENCE</t>
  </si>
  <si>
    <t>JOURNAL OF CONTROLLED RELEASE</t>
  </si>
  <si>
    <t>JOURNAL OF COSMETIC SCIENCE</t>
  </si>
  <si>
    <t>JOURNAL OF CRANIO-MAXILLOFACIAL SURGERY</t>
  </si>
  <si>
    <t>JOURNAL OF CRANIOFACIAL SURGERY</t>
  </si>
  <si>
    <t>JOURNAL OF CRITICAL CARE</t>
  </si>
  <si>
    <t>JOURNAL OF CUTANEOUS MEDICINE AND SURGERY</t>
  </si>
  <si>
    <t>JOURNAL OF CUTANEOUS PATHOLOGY</t>
  </si>
  <si>
    <t>JOURNAL OF DENTISTRY</t>
  </si>
  <si>
    <t>JOURNAL OF DENTAL RESEARCH</t>
  </si>
  <si>
    <t>JOURNAL OF DERMATOLOGY</t>
  </si>
  <si>
    <t>JOURNAL OF DERMATOLOGICAL SCIENCE</t>
  </si>
  <si>
    <t>JOURNAL OF DEVELOPMENTAL AND BEHAVIORAL PEDIATRICS</t>
  </si>
  <si>
    <t>JOURNAL OF DIABETES AND ITS COMPLICATIONS</t>
  </si>
  <si>
    <t>JOURNAL OF DIGITAL IMAGING</t>
  </si>
  <si>
    <t>JOURNAL OF DRUG DELIVERY SCIENCE AND TECHNOLOGY</t>
  </si>
  <si>
    <t>JOURNAL OF DRUG TARGETING</t>
  </si>
  <si>
    <t>JOURNAL OF ECT</t>
  </si>
  <si>
    <t>JOURNAL OF ELECTROANALYTICAL CHEMISTRY</t>
  </si>
  <si>
    <t>JOURNAL OF ELECTROCARDIOLOGY</t>
  </si>
  <si>
    <t>JOURNAL OF ELECTROMYOGRAPHY AND KINESIOLOGY</t>
  </si>
  <si>
    <t>JOURNAL OF ELECTRONIC IMAGING</t>
  </si>
  <si>
    <t>JOURNAL OF ELECTRONIC PACKAGING</t>
  </si>
  <si>
    <t>JOURNAL OF EMERGENCY MEDICINE</t>
  </si>
  <si>
    <t>JOURNAL OF ENDOCRINOLOGY</t>
  </si>
  <si>
    <t>JOURNAL OF ENDOCRINOLOGICAL INVESTIGATION</t>
  </si>
  <si>
    <t>JOURNAL OF ENDODONTICS</t>
  </si>
  <si>
    <t>JOURNAL OF ENDOUROLOGY</t>
  </si>
  <si>
    <t>JOURNAL OF ENDOVASCULAR THERAPY</t>
  </si>
  <si>
    <t>JOURNAL OF ENGINEERING EDUCATION</t>
  </si>
  <si>
    <t>JOURNAL OF ENGINEERING FOR GAS TURBINES AND POWER-TRANSACTIONS OF THE ASME</t>
  </si>
  <si>
    <t>JOURNAL OF ENGINEERING MATERIALS AND TECHNOLOGY-TRANSACTIONS OF THE ASME</t>
  </si>
  <si>
    <t>JOURNAL OF ENVIRONMENTAL HEALTH</t>
  </si>
  <si>
    <t>JOURNAL OF ENVIRONMENTAL PATHOLOGY TOXICOLOGY AND ONCOLOGY</t>
  </si>
  <si>
    <t>JOURNAL OF ENZYME INHIBITION AND MEDICINAL CHEMISTRY</t>
  </si>
  <si>
    <t>JOURNAL OF EPIDEMIOLOGY</t>
  </si>
  <si>
    <t>JOURNAL OF EPIDEMIOLOGY AND COMMUNITY HEALTH</t>
  </si>
  <si>
    <t>JOURNAL OF EQUINE VETERINARY SCIENCE</t>
  </si>
  <si>
    <t>JOURNAL OF ETHNOPHARMACOLOGY</t>
  </si>
  <si>
    <t>JOURNAL OF EUKARYOTIC MICROBIOLOGY</t>
  </si>
  <si>
    <t>JOURNAL OF THE EUROPEAN ACADEMY OF DERMATOLOGY AND VENEREOLOGY</t>
  </si>
  <si>
    <t>JOURNAL OF EVALUATION IN CLINICAL PRACTICE</t>
  </si>
  <si>
    <t>JOURNAL OF EVOLUTIONARY BIOCHEMISTRY AND PHYSIOLOGY</t>
  </si>
  <si>
    <t>JOURNAL OF EVOLUTIONARY BIOLOGY</t>
  </si>
  <si>
    <t>JOURNAL OF EXPERIMENTAL BIOLOGY</t>
  </si>
  <si>
    <t>JOURNAL OF EXPERIMENTAL &amp; CLINICAL CANCER RESEARCH</t>
  </si>
  <si>
    <t>JOURNAL OF EXPERIMENTAL MEDICINE</t>
  </si>
  <si>
    <t>JOURNAL OF EXPERIMENTAL PSYCHOLOGY-HUMAN PERCEPTION AND PERFORMANCE</t>
  </si>
  <si>
    <t>JOURNAL OF EXPERIMENTAL PSYCHOLOGY-LEARNING MEMORY AND COGNITION</t>
  </si>
  <si>
    <t>Journal of Exposure Science and Environmental Epidemiology</t>
  </si>
  <si>
    <t>JOURNAL OF FAMILY PRACTICE</t>
  </si>
  <si>
    <t>JOURNAL OF FELINE MEDICINE AND SURGERY</t>
  </si>
  <si>
    <t>JOURNAL OF FISH DISEASES</t>
  </si>
  <si>
    <t>JOURNAL OF FLUIDS ENGINEERING-TRANSACTIONS OF THE ASME</t>
  </si>
  <si>
    <t>JOURNAL OF FLUIDS AND STRUCTURES</t>
  </si>
  <si>
    <t>JOURNAL OF FLUORESCENCE</t>
  </si>
  <si>
    <t>JOURNAL OF FLUORINE CHEMISTRY</t>
  </si>
  <si>
    <t>JOURNAL OF FOOD BIOCHEMISTRY</t>
  </si>
  <si>
    <t>JOURNAL OF FOOD AND DRUG ANALYSIS</t>
  </si>
  <si>
    <t>JOURNAL OF FOOD PROTECTION</t>
  </si>
  <si>
    <t>JOURNAL OF FOOD SAFETY</t>
  </si>
  <si>
    <t>JOURNAL OF FORENSIC SCIENCES</t>
  </si>
  <si>
    <t>JOURNAL OF THE FORMOSAN MEDICAL ASSOCIATION</t>
  </si>
  <si>
    <t>JOURNAL FRANCAIS D OPHTALMOLOGIE</t>
  </si>
  <si>
    <t>JOURNAL OF GASTROENTEROLOGY AND HEPATOLOGY</t>
  </si>
  <si>
    <t>JOURNAL OF GASTROENTEROLOGY</t>
  </si>
  <si>
    <t>JOURNAL OF GASTROINTESTINAL SURGERY</t>
  </si>
  <si>
    <t>JOURNAL OF GENERAL AND APPLIED MICROBIOLOGY</t>
  </si>
  <si>
    <t>JOURNAL OF GENERAL INTERNAL MEDICINE</t>
  </si>
  <si>
    <t>JOURNAL OF GENERAL PHYSIOLOGY</t>
  </si>
  <si>
    <t>JOURNAL OF GENERAL VIROLOGY</t>
  </si>
  <si>
    <t>JOURNAL OF GENE MEDICINE</t>
  </si>
  <si>
    <t>JOURNAL OF GENETICS</t>
  </si>
  <si>
    <t>JOURNAL OF GENETIC PSYCHOLOGY</t>
  </si>
  <si>
    <t>JOURNAL OF GERIATRIC PSYCHIATRY AND NEUROLOGY</t>
  </si>
  <si>
    <t>JOURNALS OF GERONTOLOGY SERIES A-BIOLOGICAL SCIENCES AND MEDICAL SCIENCES</t>
  </si>
  <si>
    <t>JOURNALS OF GERONTOLOGY SERIES B-PSYCHOLOGICAL SCIENCES AND SOCIAL SCIENCES</t>
  </si>
  <si>
    <t>JOURNAL OF GLAUCOMA</t>
  </si>
  <si>
    <t>JOURNAL OF HAND SURGERY-AMERICAN VOLUME</t>
  </si>
  <si>
    <t>JOURNAL OF HEALTH ECONOMICS</t>
  </si>
  <si>
    <t>JOURNAL OF HEALTH POLITICS POLICY AND LAW</t>
  </si>
  <si>
    <t>JOURNAL OF HEALTH POPULATION AND NUTRITION</t>
  </si>
  <si>
    <t>JOURNAL OF HEART AND LUNG TRANSPLANTATION</t>
  </si>
  <si>
    <t>JOURNAL OF HEAT TRANSFER-TRANSACTIONS OF THE ASME</t>
  </si>
  <si>
    <t>JOURNAL OF HELMINTHOLOGY</t>
  </si>
  <si>
    <t>JOURNAL OF HEPATOLOGY</t>
  </si>
  <si>
    <t>JOURNAL OF HEREDITY</t>
  </si>
  <si>
    <t>JOURNAL OF HETEROCYCLIC CHEMISTRY</t>
  </si>
  <si>
    <t>JOURNAL FOR THE HISTORY OF ASTRONOMY</t>
  </si>
  <si>
    <t>JOURNAL OF THE HISTORY OF BIOLOGY</t>
  </si>
  <si>
    <t>JOURNAL OF THE HISTORY OF MEDICINE AND ALLIED SCIENCES</t>
  </si>
  <si>
    <t>JOURNAL OF HISTOCHEMISTRY &amp; CYTOCHEMISTRY</t>
  </si>
  <si>
    <t>JOURNAL OF HISTOTECHNOLOGY</t>
  </si>
  <si>
    <t>JOURNAL OF HOSPITAL INFECTION</t>
  </si>
  <si>
    <t>JOURNAL OF HUMAN GENETICS</t>
  </si>
  <si>
    <t>JOURNAL OF HUMAN HYPERTENSION</t>
  </si>
  <si>
    <t>JOURNAL OF HUMAN LACTATION</t>
  </si>
  <si>
    <t>JOURNAL OF HUMAN NUTRITION AND DIETETICS</t>
  </si>
  <si>
    <t>JOURNAL OF HYPERTENSION</t>
  </si>
  <si>
    <t>JOURNAL OF IMMUNOLOGY</t>
  </si>
  <si>
    <t>JOURNAL OF IMMUNOLOGICAL METHODS</t>
  </si>
  <si>
    <t>JOURNAL OF IMMUNOTHERAPY</t>
  </si>
  <si>
    <t>JOURNAL OF INCLUSION PHENOMENA AND MACROCYCLIC CHEMISTRY</t>
  </si>
  <si>
    <t>JOURNAL OF INDUSTRIAL AND ENGINEERING CHEMISTRY</t>
  </si>
  <si>
    <t>JOURNAL OF INDUSTRIAL MICROBIOLOGY &amp; BIOTECHNOLOGY</t>
  </si>
  <si>
    <t>JOURNAL OF INFECTIOUS DISEASES</t>
  </si>
  <si>
    <t>JOURNAL OF INFECTION</t>
  </si>
  <si>
    <t>JOURNAL OF INHERITED METABOLIC DISEASE</t>
  </si>
  <si>
    <t>JOURNAL OF INORGANIC BIOCHEMISTRY</t>
  </si>
  <si>
    <t>JOURNAL OF INSECT PHYSIOLOGY</t>
  </si>
  <si>
    <t>JOURNAL OF INTERNATIONAL MEDICAL RESEARCH</t>
  </si>
  <si>
    <t>JOURNAL OF THE INTERNATIONAL NEUROPSYCHOLOGICAL SOCIETY</t>
  </si>
  <si>
    <t>Journal of Integrative Plant Biology</t>
  </si>
  <si>
    <t>JOURNAL OF INTELLECTUAL DISABILITY RESEARCH</t>
  </si>
  <si>
    <t>JOURNAL OF INTERFERON AND CYTOKINE RESEARCH</t>
  </si>
  <si>
    <t>JOURNAL OF INTERNAL MEDICINE</t>
  </si>
  <si>
    <t>JOURNAL OF INTERVENTIONAL CARDIAC ELECTROPHYSIOLOGY</t>
  </si>
  <si>
    <t>JOURNAL OF INVESTIGATIONAL ALLERGOLOGY AND CLINICAL IMMUNOLOGY</t>
  </si>
  <si>
    <t>JOURNAL OF INVESTIGATIVE DERMATOLOGY</t>
  </si>
  <si>
    <t>JOURNAL OF INVESTIGATIVE MEDICINE</t>
  </si>
  <si>
    <t>JOURNAL OF INVESTIGATIVE SURGERY</t>
  </si>
  <si>
    <t>Journal of the Iranian Chemical Society</t>
  </si>
  <si>
    <t>JOURNAL OF KOREAN MEDICAL SCIENCE</t>
  </si>
  <si>
    <t>JOURNAL OF LABELLED COMPOUNDS &amp; RADIOPHARMACEUTICALS</t>
  </si>
  <si>
    <t>Journal of Laparoendoscopic &amp; Advanced Surgical Techniques</t>
  </si>
  <si>
    <t>JOURNAL OF LARYNGOLOGY AND OTOLOGY</t>
  </si>
  <si>
    <t>JOURNAL OF LASER APPLICATIONS</t>
  </si>
  <si>
    <t>JOURNAL OF LAW MEDICINE &amp; ETHICS</t>
  </si>
  <si>
    <t>JOURNAL OF LEUKOCYTE BIOLOGY</t>
  </si>
  <si>
    <t>JOURNAL OF LIGHTWAVE TECHNOLOGY</t>
  </si>
  <si>
    <t>JOURNAL OF LIPID RESEARCH</t>
  </si>
  <si>
    <t>JOURNAL OF LIPOSOME RESEARCH</t>
  </si>
  <si>
    <t>JOURNAL OF LIQUID CHROMATOGRAPHY &amp; RELATED TECHNOLOGIES</t>
  </si>
  <si>
    <t>JOURNAL OF LOW FREQUENCY NOISE VIBRATION AND ACTIVE CONTROL</t>
  </si>
  <si>
    <t>JOURNAL OF LUMINESCENCE</t>
  </si>
  <si>
    <t>JOURNAL OF MAGNETIC RESONANCE</t>
  </si>
  <si>
    <t>JOURNAL OF MAGNETIC RESONANCE IMAGING</t>
  </si>
  <si>
    <t>JOURNAL OF MAMMARY GLAND BIOLOGY AND NEOPLASIA</t>
  </si>
  <si>
    <t>JOURNAL OF MANIPULATIVE AND PHYSIOLOGICAL THERAPEUTICS</t>
  </si>
  <si>
    <t>JOURNAL OF MANUFACTURING SCIENCE AND ENGINEERING-TRANSACTIONS OF THE ASME</t>
  </si>
  <si>
    <t>JOURNAL OF MASS SPECTROMETRY</t>
  </si>
  <si>
    <t>JOURNAL OF MATERIALS SCIENCE-MATERIALS IN MEDICINE</t>
  </si>
  <si>
    <t>JOURNAL OF MATHEMATICAL BIOLOGY</t>
  </si>
  <si>
    <t>JOURNAL OF MATHEMATICAL CHEMISTRY</t>
  </si>
  <si>
    <t>JOURNAL OF MECHANICAL DESIGN</t>
  </si>
  <si>
    <t>Journal of Mechanical Science and Technology</t>
  </si>
  <si>
    <t>JOURNAL OF MEDICINAL CHEMISTRY</t>
  </si>
  <si>
    <t>JOURNAL OF MEDICAL ENTOMOLOGY</t>
  </si>
  <si>
    <t>JOURNAL OF MEDICAL ETHICS</t>
  </si>
  <si>
    <t>JOURNAL OF MEDICINAL FOOD</t>
  </si>
  <si>
    <t>JOURNAL OF MEDICAL GENETICS</t>
  </si>
  <si>
    <t>JOURNAL OF MEDICAL INTERNET RESEARCH</t>
  </si>
  <si>
    <t>JOURNAL OF MEDICAL MICROBIOLOGY</t>
  </si>
  <si>
    <t>JOURNAL OF MEDICAL PRIMATOLOGY</t>
  </si>
  <si>
    <t>JOURNAL OF MEDICAL SCREENING</t>
  </si>
  <si>
    <t>JOURNAL OF MEDICAL SYSTEMS</t>
  </si>
  <si>
    <t>JOURNAL OF MEDICAL VIROLOGY</t>
  </si>
  <si>
    <t>JOURNAL OF MEMORY AND LANGUAGE</t>
  </si>
  <si>
    <t>JOURNAL OF MEMBRANE BIOLOGY</t>
  </si>
  <si>
    <t>JOURNAL OF MICROBIOLOGY</t>
  </si>
  <si>
    <t>JOURNAL OF MICROBIOLOGICAL METHODS</t>
  </si>
  <si>
    <t>JOURNAL OF MICROELECTROMECHANICAL SYSTEMS</t>
  </si>
  <si>
    <t>JOURNAL OF MICROENCAPSULATION</t>
  </si>
  <si>
    <t>Journal of Minimally Invasive Gynecology</t>
  </si>
  <si>
    <t>JOURNAL OF MODERN OPTICS</t>
  </si>
  <si>
    <t>JOURNAL OF MOLECULAR BIOLOGY</t>
  </si>
  <si>
    <t>JOURNAL OF MOLECULAR AND CELLULAR CARDIOLOGY</t>
  </si>
  <si>
    <t>JOURNAL OF MOLECULAR DIAGNOSTICS</t>
  </si>
  <si>
    <t>JOURNAL OF MOLECULAR ENDOCRINOLOGY</t>
  </si>
  <si>
    <t>JOURNAL OF MOLECULAR EVOLUTION</t>
  </si>
  <si>
    <t>JOURNAL OF MOLECULAR GRAPHICS &amp; MODELLING</t>
  </si>
  <si>
    <t>JOURNAL OF MOLECULAR HISTOLOGY</t>
  </si>
  <si>
    <t>JOURNAL OF MOLECULAR MEDICINE-JMM</t>
  </si>
  <si>
    <t>JOURNAL OF MOLECULAR MODELING</t>
  </si>
  <si>
    <t>JOURNAL OF MOLECULAR NEUROSCIENCE</t>
  </si>
  <si>
    <t>JOURNAL OF MOLECULAR RECOGNITION</t>
  </si>
  <si>
    <t>JOURNAL OF MORPHOLOGY</t>
  </si>
  <si>
    <t>JOURNAL OF MOTOR BEHAVIOR</t>
  </si>
  <si>
    <t>JOURNAL OF MULTIVARIATE ANALYSIS</t>
  </si>
  <si>
    <t>JOURNAL OF MUSCLE RESEARCH AND CELL MOTILITY</t>
  </si>
  <si>
    <t>JOURNAL DE MYCOLOGIE MEDICALE</t>
  </si>
  <si>
    <t>JOURNAL OF NANOPARTICLE RESEARCH</t>
  </si>
  <si>
    <t>JOURNAL OF NATURAL PRODUCTS</t>
  </si>
  <si>
    <t>JOURNAL OF THE NATIONAL MEDICAL ASSOCIATION</t>
  </si>
  <si>
    <t>JOURNAL OF NEPHROLOGY</t>
  </si>
  <si>
    <t>JOURNAL OF NERVOUS AND MENTAL DISEASE</t>
  </si>
  <si>
    <t>JOURNAL OF NEURAL TRANSMISSION</t>
  </si>
  <si>
    <t>JOURNAL OF NEUROCHEMISTRY</t>
  </si>
  <si>
    <t>JOURNAL OF NEUROENDOCRINOLOGY</t>
  </si>
  <si>
    <t>JOURNAL OF NEUROGENETICS</t>
  </si>
  <si>
    <t>JOURNAL OF NEUROIMAGING</t>
  </si>
  <si>
    <t>JOURNAL OF NEUROIMMUNOLOGY</t>
  </si>
  <si>
    <t>JOURNAL OF NEUROLOGY</t>
  </si>
  <si>
    <t>JOURNAL OF NEUROLOGY NEUROSURGERY AND PSYCHIATRY</t>
  </si>
  <si>
    <t>JOURNAL OF THE NEUROLOGICAL SCIENCES</t>
  </si>
  <si>
    <t>JOURNAL OF NEUROLINGUISTICS</t>
  </si>
  <si>
    <t>JOURNAL OF NEURO-ONCOLOGY</t>
  </si>
  <si>
    <t>JOURNAL OF NEURO-OPHTHALMOLOGY</t>
  </si>
  <si>
    <t>JOURNAL OF NEUROPATHOLOGY AND EXPERIMENTAL NEUROLOGY</t>
  </si>
  <si>
    <t>JOURNAL OF NEUROPHYSIOLOGY</t>
  </si>
  <si>
    <t>JOURNAL OF NEUROPSYCHIATRY AND CLINICAL NEUROSCIENCES</t>
  </si>
  <si>
    <t>JOURNAL OF NEURORADIOLOGY</t>
  </si>
  <si>
    <t>JOURNAL OF NEUROSCIENCE</t>
  </si>
  <si>
    <t>JOURNAL OF NEUROSCIENCE METHODS</t>
  </si>
  <si>
    <t>JOURNAL OF NEUROSCIENCE RESEARCH</t>
  </si>
  <si>
    <t>JOURNAL OF NEUROSURGERY</t>
  </si>
  <si>
    <t>JOURNAL OF NEUROSURGICAL ANESTHESIOLOGY</t>
  </si>
  <si>
    <t>JOURNAL OF NEUROSURGERY-SPINE</t>
  </si>
  <si>
    <t>JOURNAL OF NEUROTRAUMA</t>
  </si>
  <si>
    <t>JOURNAL OF NEUROVIROLOGY</t>
  </si>
  <si>
    <t>JOURNAL OF NONLINEAR OPTICAL PHYSICS &amp; MATERIALS</t>
  </si>
  <si>
    <t>JOURNAL OF NONPARAMETRIC STATISTICS</t>
  </si>
  <si>
    <t>JOURNAL OF NUCLEAR CARDIOLOGY</t>
  </si>
  <si>
    <t>JOURNAL OF NUCLEAR MEDICINE</t>
  </si>
  <si>
    <t>JOURNAL OF NURSING ADMINISTRATION</t>
  </si>
  <si>
    <t>JOURNAL OF NURSING CARE QUALITY</t>
  </si>
  <si>
    <t>JOURNAL OF NURSING EDUCATION</t>
  </si>
  <si>
    <t>JOURNAL OF NURSING SCHOLARSHIP</t>
  </si>
  <si>
    <t>JOURNAL OF NUTRITION</t>
  </si>
  <si>
    <t>JOURNAL OF NUTRITIONAL BIOCHEMISTRY</t>
  </si>
  <si>
    <t>JOURNAL OF NUTRITION EDUCATION AND BEHAVIOR</t>
  </si>
  <si>
    <t>JOURNAL OF NUTRITIONAL SCIENCE AND VITAMINOLOGY</t>
  </si>
  <si>
    <t>JOURNAL OF OBSTETRICS AND GYNAECOLOGY RESEARCH</t>
  </si>
  <si>
    <t>JOURNAL OF OCCUPATIONAL AND ENVIRONMENTAL HYGIENE</t>
  </si>
  <si>
    <t>JOURNAL OF OCCUPATIONAL AND ENVIRONMENTAL MEDICINE</t>
  </si>
  <si>
    <t>JOURNAL OF OCCUPATIONAL HEALTH</t>
  </si>
  <si>
    <t>JOURNAL OF OCULAR PHARMACOLOGY AND THERAPEUTICS</t>
  </si>
  <si>
    <t>JOURNAL OF THE OPTICAL SOCIETY OF AMERICA A-OPTICS IMAGE SCIENCE AND VISION</t>
  </si>
  <si>
    <t>JOURNAL OF THE OPTICAL SOCIETY OF AMERICA B-OPTICAL PHYSICS</t>
  </si>
  <si>
    <t>JOURNAL OF OPTICAL TECHNOLOGY</t>
  </si>
  <si>
    <t>JOURNAL OF OPTOELECTRONICS AND ADVANCED MATERIALS</t>
  </si>
  <si>
    <t>JOURNAL OF ORAL AND MAXILLOFACIAL SURGERY</t>
  </si>
  <si>
    <t>JOURNAL OF ORAL PATHOLOGY &amp; MEDICINE</t>
  </si>
  <si>
    <t>JOURNAL OF ORAL REHABILITATION</t>
  </si>
  <si>
    <t>JOURNAL OF ORGANIC CHEMISTRY</t>
  </si>
  <si>
    <t>JOURNAL OF ORGANOMETALLIC CHEMISTRY</t>
  </si>
  <si>
    <t>JOURNAL OF ORTHOPAEDIC RESEARCH</t>
  </si>
  <si>
    <t>JOURNAL OF ORTHOPAEDIC SCIENCE</t>
  </si>
  <si>
    <t>JOURNAL OF ORTHOPAEDIC &amp; SPORTS PHYSICAL THERAPY</t>
  </si>
  <si>
    <t>JOURNAL OF ORTHOPAEDIC TRAUMA</t>
  </si>
  <si>
    <t>JOURNAL OF PAEDIATRICS AND CHILD HEALTH</t>
  </si>
  <si>
    <t>JOURNAL OF PAIN</t>
  </si>
  <si>
    <t>JOURNAL OF PAIN AND SYMPTOM MANAGEMENT</t>
  </si>
  <si>
    <t>JOURNAL OF PALLIATIVE CARE</t>
  </si>
  <si>
    <t>JOURNAL OF PARASITOLOGY</t>
  </si>
  <si>
    <t>JOURNAL OF PATHOLOGY</t>
  </si>
  <si>
    <t>JOURNAL OF PEDIATRIC HEMATOLOGY ONCOLOGY</t>
  </si>
  <si>
    <t>JOURNAL OF PEDIATRIC OPHTHALMOLOGY &amp; STRABISMUS</t>
  </si>
  <si>
    <t>JOURNAL OF PEDIATRICS</t>
  </si>
  <si>
    <t>JOURNAL OF PEDIATRIC ENDOCRINOLOGY &amp; METABOLISM</t>
  </si>
  <si>
    <t>JOURNAL OF PEDIATRIC GASTROENTEROLOGY AND NUTRITION</t>
  </si>
  <si>
    <t>JOURNAL OF PEDIATRIC ORTHOPAEDICS-PART B</t>
  </si>
  <si>
    <t>JOURNAL OF PEDIATRIC ORTHOPAEDICS</t>
  </si>
  <si>
    <t>JOURNAL OF PEDIATRIC SURGERY</t>
  </si>
  <si>
    <t>JOURNAL OF PEPTIDE SCIENCE</t>
  </si>
  <si>
    <t>JOURNAL OF PERINATAL MEDICINE</t>
  </si>
  <si>
    <t>JOURNAL OF PERINATAL &amp; NEONATAL NURSING</t>
  </si>
  <si>
    <t>JOURNAL OF PERIODONTAL RESEARCH</t>
  </si>
  <si>
    <t>JOURNAL OF PERIODONTOLOGY</t>
  </si>
  <si>
    <t>JOURNAL OF THE PERIPHERAL NERVOUS SYSTEM</t>
  </si>
  <si>
    <t>JOURNAL OF PHARMACY AND PHARMACEUTICAL SCIENCES</t>
  </si>
  <si>
    <t>JOURNAL OF PHARMACY AND PHARMACOLOGY</t>
  </si>
  <si>
    <t>JOURNAL OF PHARMACEUTICAL SCIENCES</t>
  </si>
  <si>
    <t>JOURNAL OF PHARMACEUTICAL AND BIOMEDICAL ANALYSIS</t>
  </si>
  <si>
    <t>JOURNAL OF PHARMACOKINETICS AND PHARMACODYNAMICS</t>
  </si>
  <si>
    <t>JOURNAL OF PHARMACOLOGY AND EXPERIMENTAL THERAPEUTICS</t>
  </si>
  <si>
    <t>JOURNAL OF PHARMACOLOGICAL SCIENCES</t>
  </si>
  <si>
    <t>JOURNAL OF THE PHILOSOPHY OF SPORT</t>
  </si>
  <si>
    <t>JOURNAL OF PHOTOCHEMISTRY AND PHOTOBIOLOGY B-BIOLOGY</t>
  </si>
  <si>
    <t>JOURNAL OF PHYSICS B-ATOMIC MOLECULAR AND OPTICAL PHYSICS</t>
  </si>
  <si>
    <t>JOURNAL OF PHYSICAL AND CHEMICAL REFERENCE DATA</t>
  </si>
  <si>
    <t>JOURNAL OF PHYSICS AND CHEMISTRY OF SOLIDS</t>
  </si>
  <si>
    <t>JOURNAL OF PHYSICAL ORGANIC CHEMISTRY</t>
  </si>
  <si>
    <t>JOURNAL OF PHYSIOLOGY AND BIOCHEMISTRY</t>
  </si>
  <si>
    <t>JOURNAL OF PHYSIOLOGY AND PHARMACOLOGY</t>
  </si>
  <si>
    <t>Journal of Physiological Sciences</t>
  </si>
  <si>
    <t>JOURNAL OF PHYSIOLOGY-LONDON</t>
  </si>
  <si>
    <t>JOURNAL OF PINEAL RESEARCH</t>
  </si>
  <si>
    <t>JOURNAL OF PLANT BIOCHEMISTRY AND BIOTECHNOLOGY</t>
  </si>
  <si>
    <t>Journal of Plastic Reconstructive and Aesthetic Surgery</t>
  </si>
  <si>
    <t>JOURNAL OF POROUS MEDIA</t>
  </si>
  <si>
    <t>JOURNAL OF PORPHYRINS AND PHTHALOCYANINES</t>
  </si>
  <si>
    <t>JOURNAL OF PRESSURE VESSEL TECHNOLOGY-TRANSACTIONS OF THE ASME</t>
  </si>
  <si>
    <t>JOURNAL OF PROFESSIONAL ISSUES IN ENGINEERING EDUCATION AND PRACTICE</t>
  </si>
  <si>
    <t>JOURNAL OF PROFESSIONAL NURSING</t>
  </si>
  <si>
    <t>JOURNAL OF PROSTHETIC DENTISTRY</t>
  </si>
  <si>
    <t>JOURNAL OF PROTEOME RESEARCH</t>
  </si>
  <si>
    <t>JOURNAL OF PSYCHIATRY &amp; NEUROSCIENCE</t>
  </si>
  <si>
    <t>JOURNAL OF PSYCHIATRIC RESEARCH</t>
  </si>
  <si>
    <t>JOURNAL OF PSYCHOPHARMACOLOGY</t>
  </si>
  <si>
    <t>JOURNAL OF PSYCHOPHYSIOLOGY</t>
  </si>
  <si>
    <t>JOURNAL OF PSYCHOSOMATIC RESEARCH</t>
  </si>
  <si>
    <t>JOURNAL OF PUBLIC HEALTH</t>
  </si>
  <si>
    <t>JOURNAL OF PUBLIC HEALTH DENTISTRY</t>
  </si>
  <si>
    <t>JOURNAL OF PUBLIC HEALTH POLICY</t>
  </si>
  <si>
    <t>JOURNAL OF QUALITY TECHNOLOGY</t>
  </si>
  <si>
    <t>Journal of the Royal Society Interface</t>
  </si>
  <si>
    <t>JOURNAL OF THE ROYAL SOCIETY OF MEDICINE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</si>
  <si>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</si>
  <si>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</si>
  <si>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</si>
  <si>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</si>
  <si>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RADIATION RESEARCH</t>
  </si>
  <si>
    <t>JOURNAL OF RADIOANALYTICAL AND NUCLEAR CHEMISTRY</t>
  </si>
  <si>
    <t>JOURNAL OF RADIOLOGICAL PROTECTION</t>
  </si>
  <si>
    <t>JOURNAL OF RECONSTRUCTIVE MICROSURGERY</t>
  </si>
  <si>
    <t>JOURNAL OF REFRACTIVE SURGERY</t>
  </si>
  <si>
    <t>JOURNAL OF REHABILITATION MEDICINE</t>
  </si>
  <si>
    <t>JOURNAL OF RENAL NUTRITION</t>
  </si>
  <si>
    <t>JOURNAL OF THE RENIN-ANGIOTENSIN-ALDOSTERONE SYSTEM</t>
  </si>
  <si>
    <t>JOURNAL OF REPRODUCTION AND DEVELOPMENT</t>
  </si>
  <si>
    <t>JOURNAL OF REPRODUCTIVE IMMUNOLOGY</t>
  </si>
  <si>
    <t>JOURNAL OF REPRODUCTIVE MEDICINE</t>
  </si>
  <si>
    <t>JOURNAL OF RESEARCH OF THE NATIONAL INSTITUTE OF STANDARDS AND TECHNOLOGY</t>
  </si>
  <si>
    <t>JOURNAL OF RHEUMATOLOGY</t>
  </si>
  <si>
    <t>JOURNAL OF RURAL HEALTH</t>
  </si>
  <si>
    <t>JOURNAL OF RUSSIAN LASER RESEARCH</t>
  </si>
  <si>
    <t>JOURNAL OF SANDWICH STRUCTURES &amp; MATERIALS</t>
  </si>
  <si>
    <t>JOURNAL OF SCHOOL HEALTH</t>
  </si>
  <si>
    <t>JOURNAL OF SCIENTIFIC &amp; INDUSTRIAL RESEARCH</t>
  </si>
  <si>
    <t>JOURNAL OF SCIENCE AND MEDICINE IN SPORT</t>
  </si>
  <si>
    <t>JOURNAL OF SEPARATION SCIENCE</t>
  </si>
  <si>
    <t>JOURNAL OF THE SERBIAN CHEMICAL SOCIETY</t>
  </si>
  <si>
    <t>Journal of Sexual Medicine</t>
  </si>
  <si>
    <t>JOURNAL OF SHOULDER AND ELBOW SURGERY</t>
  </si>
  <si>
    <t>JOURNAL OF SLEEP RESEARCH</t>
  </si>
  <si>
    <t>JOURNAL OF SMALL ANIMAL PRACTICE</t>
  </si>
  <si>
    <t>JOURNAL OF SOLAR ENERGY ENGINEERING-TRANSACTIONS OF THE ASME</t>
  </si>
  <si>
    <t>JOURNAL OF SOUND AND VIBRATION</t>
  </si>
  <si>
    <t>JOURNAL OF SPINAL CORD MEDICINE</t>
  </si>
  <si>
    <t>JOURNAL OF SPORT &amp; EXERCISE PSYCHOLOGY</t>
  </si>
  <si>
    <t>JOURNAL OF SPORT MANAGEMENT</t>
  </si>
  <si>
    <t>JOURNAL OF SPORTS MEDICINE AND PHYSICAL FITNESS</t>
  </si>
  <si>
    <t>JOURNAL OF SPORT REHABILITATION</t>
  </si>
  <si>
    <t>JOURNAL OF SPORTS SCIENCES</t>
  </si>
  <si>
    <t>Journal of Sports Science and Medicine</t>
  </si>
  <si>
    <t>JOURNAL OF STATISTICAL COMPUTATION AND SIMULATION</t>
  </si>
  <si>
    <t>JOURNAL OF STATISTICAL PLANNING AND INFERENCE</t>
  </si>
  <si>
    <t>JOURNAL OF STEROID BIOCHEMISTRY AND MOLECULAR BIOLOGY</t>
  </si>
  <si>
    <t>JOURNAL OF STRAIN ANALYSIS FOR ENGINEERING DESIGN</t>
  </si>
  <si>
    <t>JOURNAL OF STRENGTH AND CONDITIONING RESEARCH</t>
  </si>
  <si>
    <t>JOURNAL OF STRUCTURAL BIOLOGY</t>
  </si>
  <si>
    <t>JOURNAL OF SURGICAL ONCOLOGY</t>
  </si>
  <si>
    <t>JOURNAL OF SURGICAL RESEARCH</t>
  </si>
  <si>
    <t>JOURNAL OF SWINE HEALTH AND PRODUCTION</t>
  </si>
  <si>
    <t>JOURNAL OF SYNTHETIC ORGANIC CHEMISTRY JAPAN</t>
  </si>
  <si>
    <t>JOURNAL OF SYNCHROTRON RADIATION</t>
  </si>
  <si>
    <t>JOURNAL OF TEACHING IN PHYSICAL EDUCATION</t>
  </si>
  <si>
    <t>JOURNAL OF TELEMEDICINE AND TELECARE</t>
  </si>
  <si>
    <t>JOURNAL OF THEORETICAL BIOLOGY</t>
  </si>
  <si>
    <t>JOURNAL OF THEORETICAL &amp; COMPUTATIONAL CHEMISTRY</t>
  </si>
  <si>
    <t>JOURNAL OF THEORETICAL PROBABILITY</t>
  </si>
  <si>
    <t>JOURNAL OF THERMAL ANALYSIS AND CALORIMETRY</t>
  </si>
  <si>
    <t>JOURNAL OF THERMAL BIOLOGY</t>
  </si>
  <si>
    <t>JOURNAL OF THERMOPHYSICS AND HEAT TRANSFER</t>
  </si>
  <si>
    <t>JOURNAL OF THORACIC AND CARDIOVASCULAR SURGERY</t>
  </si>
  <si>
    <t>JOURNAL OF THORACIC IMAGING</t>
  </si>
  <si>
    <t>Journal of Thoracic Oncology</t>
  </si>
  <si>
    <t>JOURNAL OF THROMBOSIS AND HAEMOSTASIS</t>
  </si>
  <si>
    <t>JOURNAL OF THROMBOSIS AND THROMBOLYSIS</t>
  </si>
  <si>
    <t>JOURNAL OF TIME SERIES ANALYSIS</t>
  </si>
  <si>
    <t>JOURNAL OF TRACE ELEMENTS IN MEDICINE AND BIOLOGY</t>
  </si>
  <si>
    <t>JOURNAL OF TRAVEL MEDICINE</t>
  </si>
  <si>
    <t>JOURNAL OF TRIBOLOGY-TRANSACTIONS OF THE ASME</t>
  </si>
  <si>
    <t>JOURNAL OF TROPICAL PEDIATRICS</t>
  </si>
  <si>
    <t>JOURNAL OF TURBOMACHINERY-TRANSACTIONS OF THE ASME</t>
  </si>
  <si>
    <t>JOURNAL OF ULTRASOUND IN MEDICINE</t>
  </si>
  <si>
    <t>JOURNAL OF URBAN HEALTH-BULLETIN OF THE NEW YORK ACADEMY OF MEDICINE</t>
  </si>
  <si>
    <t>JOURNAL OF UROLOGY</t>
  </si>
  <si>
    <t>JOURNAL OF VASCULAR AND INTERVENTIONAL RADIOLOGY</t>
  </si>
  <si>
    <t>JOURNAL OF VASCULAR RESEARCH</t>
  </si>
  <si>
    <t>JOURNAL OF VASCULAR SURGERY</t>
  </si>
  <si>
    <t>JOURNAL OF VESTIBULAR RESEARCH-EQUILIBRIUM &amp; ORIENTATION</t>
  </si>
  <si>
    <t>JOURNAL OF VETERINARY DENTISTRY</t>
  </si>
  <si>
    <t>JOURNAL OF VETERINARY DIAGNOSTIC INVESTIGATION</t>
  </si>
  <si>
    <t>JOURNAL OF VETERINARY EMERGENCY AND CRITICAL CARE</t>
  </si>
  <si>
    <t>JOURNAL OF VETERINARY INTERNAL MEDICINE</t>
  </si>
  <si>
    <t>JOURNAL OF VETERINARY MEDICAL EDUCATION</t>
  </si>
  <si>
    <t>JOURNAL OF VETERINARY MEDICAL SCIENCE</t>
  </si>
  <si>
    <t>JOURNAL OF VETERINARY PHARMACOLOGY AND THERAPEUTICS</t>
  </si>
  <si>
    <t>JOURNAL OF VIBRATION AND ACOUSTICS-TRANSACTIONS OF THE ASME</t>
  </si>
  <si>
    <t>JOURNAL OF VIBRATION AND CONTROL</t>
  </si>
  <si>
    <t>JOURNAL OF VIRAL HEPATITIS</t>
  </si>
  <si>
    <t>JOURNAL OF VIROLOGY</t>
  </si>
  <si>
    <t>JOURNAL OF VIROLOGICAL METHODS</t>
  </si>
  <si>
    <t>JOURNAL OF VISION</t>
  </si>
  <si>
    <t>JOURNAL OF VOICE</t>
  </si>
  <si>
    <t>JOURNAL OF WILDLIFE DISEASES</t>
  </si>
  <si>
    <t>JOURNAL OF WOMENS HEALTH</t>
  </si>
  <si>
    <t>JOURNAL OF ZOO AND WILDLIFE MEDICINE</t>
  </si>
  <si>
    <t>JAIDS-JOURNAL OF ACQUIRED IMMUNE DEFICIENCY SYNDROMES</t>
  </si>
  <si>
    <t>JAMA-JOURNAL OF THE AMERICAN MEDICAL ASSOCIATION</t>
  </si>
  <si>
    <t>JARO-JOURNAL OF THE ASSOCIATION FOR RESEARCH IN OTOLARYNGOLOGY</t>
  </si>
  <si>
    <t>JAVMA-JOURNAL OF THE AMERICAN VETERINARY MEDICAL ASSOCIATION</t>
  </si>
  <si>
    <t>JCR-JOURNAL OF CLINICAL RHEUMATOLOGY</t>
  </si>
  <si>
    <t>JOGNN-JOURNAL OF OBSTETRIC GYNECOLOGIC AND NEONATAL NURSING</t>
  </si>
  <si>
    <t>JPC-JOURNAL OF PLANAR CHROMATOGRAPHY-MODERN TLC</t>
  </si>
  <si>
    <t>JAPANESE JOURNAL OF CLINICAL ONCOLOGY</t>
  </si>
  <si>
    <t>JAPANESE JOURNAL OF INFECTIOUS DISEASES</t>
  </si>
  <si>
    <t>JAPANESE JOURNAL OF OPHTHALMOLOGY</t>
  </si>
  <si>
    <t>JAPANESE JOURNAL OF VETERINARY RESEARCH</t>
  </si>
  <si>
    <t>KIDNEY &amp; BLOOD PRESSURE RESEARCH</t>
  </si>
  <si>
    <t>KIDNEY INTERNATIONAL</t>
  </si>
  <si>
    <t>KLINISCHE MONATSBLATTER FUR AUGENHEILKUNDE</t>
  </si>
  <si>
    <t>KLINISCHE NEUROPHYSIOLOGIE</t>
  </si>
  <si>
    <t>KLINISCHE PADIATRIE</t>
  </si>
  <si>
    <t>KNEE SURGERY SPORTS TRAUMATOLOGY ARTHROSCOPY</t>
  </si>
  <si>
    <t>KOREAN JOURNAL OF CHEMICAL ENGINEERING</t>
  </si>
  <si>
    <t>KOREAN JOURNAL OF RADIOLOGY</t>
  </si>
  <si>
    <t>LABORATORY ANIMALS</t>
  </si>
  <si>
    <t>LAB ON A CHIP</t>
  </si>
  <si>
    <t>LABORATORY INVESTIGATION</t>
  </si>
  <si>
    <t>LANCET INFECTIOUS DISEASES</t>
  </si>
  <si>
    <t>LANCET NEUROLOGY</t>
  </si>
  <si>
    <t>LANCET ONCOLOGY</t>
  </si>
  <si>
    <t>LANGENBECKS ARCHIVES OF SURGERY</t>
  </si>
  <si>
    <t>LARYNGO-RHINO-OTOLOGIE</t>
  </si>
  <si>
    <t>LASERS IN ENGINEERING</t>
  </si>
  <si>
    <t>LASERS IN MEDICAL SCIENCE</t>
  </si>
  <si>
    <t>LASER PHYSICS</t>
  </si>
  <si>
    <t>LASERS IN SURGERY AND MEDICINE</t>
  </si>
  <si>
    <t>LEARNING &amp; MEMORY</t>
  </si>
  <si>
    <t>LEPROSY REVIEW</t>
  </si>
  <si>
    <t>LETTERS IN APPLIED MICROBIOLOGY</t>
  </si>
  <si>
    <t>LETTERS IN ORGANIC CHEMISTRY</t>
  </si>
  <si>
    <t>LEUKEMIA &amp; LYMPHOMA</t>
  </si>
  <si>
    <t>LEUKEMIA RESEARCH</t>
  </si>
  <si>
    <t>Leukos</t>
  </si>
  <si>
    <t>LIFE SCIENCES</t>
  </si>
  <si>
    <t>LIFETIME DATA ANALYSIS</t>
  </si>
  <si>
    <t>LIVER INTERNATIONAL</t>
  </si>
  <si>
    <t>LIVER TRANSPLANTATION</t>
  </si>
  <si>
    <t>M S-MEDECINE SCIENCES</t>
  </si>
  <si>
    <t>MACHINING SCIENCE AND TECHNOLOGY</t>
  </si>
  <si>
    <t>MACROMOLECULAR BIOSCIENCE</t>
  </si>
  <si>
    <t>MAGNETIC RESONANCE IN CHEMISTRY</t>
  </si>
  <si>
    <t>MAGNETIC RESONANCE IMAGING</t>
  </si>
  <si>
    <t>MAGNETIC RESONANCE MATERIALS IN PHYSICS BIOLOGY AND MEDICINE</t>
  </si>
  <si>
    <t>MAGNETIC RESONANCE IN MEDICINE</t>
  </si>
  <si>
    <t>MAGNESIUM RESEARCH</t>
  </si>
  <si>
    <t>MAGYAR ALLATORVOSOK LAPJA</t>
  </si>
  <si>
    <t>MAIN GROUP METAL CHEMISTRY</t>
  </si>
  <si>
    <t>MALARIA JOURNAL</t>
  </si>
  <si>
    <t>MAMMALIAN GENOME</t>
  </si>
  <si>
    <t>MARINE BIOTECHNOLOGY</t>
  </si>
  <si>
    <t>MARINE CHEMISTRY</t>
  </si>
  <si>
    <t>MARINE ENVIRONMENTAL RESEARCH</t>
  </si>
  <si>
    <t>MATCH-COMMUNICATIONS IN MATHEMATICAL AND IN COMPUTER CHEMISTRY</t>
  </si>
  <si>
    <t>Maternal and Child Nutrition</t>
  </si>
  <si>
    <t>MATHEMATICAL BIOSCIENCES</t>
  </si>
  <si>
    <t>MATHEMATICS AND MECHANICS OF SOLIDS</t>
  </si>
  <si>
    <t>BMC CELL BIOLOGY</t>
  </si>
  <si>
    <t>BMC DEVELOPMENTAL BIOLOGY</t>
  </si>
  <si>
    <t>BMC EVOLUTIONARY BIOLOGY</t>
  </si>
  <si>
    <t>BMC GASTROENTEROLOGY</t>
  </si>
  <si>
    <t>BMC GENETICS</t>
  </si>
  <si>
    <t>BMC HEALTH SERVICES RESEARCH</t>
  </si>
  <si>
    <t>BMC IMMUNOLOGY</t>
  </si>
  <si>
    <t>BMC INFECTIOUS DISEASES</t>
  </si>
  <si>
    <t>BMC MICROBIOLOGY</t>
  </si>
  <si>
    <t>BMC MOLECULAR BIOLOGY</t>
  </si>
  <si>
    <t>BMC MUSCULOSKELETAL DISORDERS</t>
  </si>
  <si>
    <t>BMC NEUROSCIENCE</t>
  </si>
  <si>
    <t>BONE MARROW TRANSPLANTATION</t>
  </si>
  <si>
    <t>BRAIN BEHAVIOR AND EVOLUTION</t>
  </si>
  <si>
    <t>BRAIN BEHAVIOR AND IMMUNITY</t>
  </si>
  <si>
    <t>BRAIN AND COGNITION</t>
  </si>
  <si>
    <t>BRAIN &amp; DEVELOPMENT</t>
  </si>
  <si>
    <t>BRAIN AND LANGUAGE</t>
  </si>
  <si>
    <t>BRAIN PATHOLOGY</t>
  </si>
  <si>
    <t>BRAIN RESEARCH</t>
  </si>
  <si>
    <t>BRAIN RESEARCH BULLETIN</t>
  </si>
  <si>
    <t>BRAIN TOPOGRAPHY</t>
  </si>
  <si>
    <t>BRAZILIAN ARCHIVES OF BIOLOGY AND TECHNOLOGY</t>
  </si>
  <si>
    <t>BRAZILIAN JOURNAL OF MEDICAL AND BIOLOGICAL RESEARCH</t>
  </si>
  <si>
    <t>BRAZILIAN JOURNAL OF MICROBIOLOGY</t>
  </si>
  <si>
    <t>BREAST CANCER RESEARCH</t>
  </si>
  <si>
    <t>BREAST CANCER RESEARCH AND TREATMENT</t>
  </si>
  <si>
    <t>Breast Care</t>
  </si>
  <si>
    <t>BRIEFINGS IN BIOINFORMATICS</t>
  </si>
  <si>
    <t>BRITISH DENTAL JOURNAL</t>
  </si>
  <si>
    <t>BRITISH JOURNAL OF ANAESTHESIA</t>
  </si>
  <si>
    <t>BRITISH JOURNAL OF BIOMEDICAL SCIENCE</t>
  </si>
  <si>
    <t>BRITISH JOURNAL OF CANCER</t>
  </si>
  <si>
    <t>BRITISH JOURNAL OF CLINICAL PHARMACOLOGY</t>
  </si>
  <si>
    <t>BRITISH JOURNAL OF DERMATOLOGY</t>
  </si>
  <si>
    <t>BRITISH JOURNAL OF GENERAL PRACTICE</t>
  </si>
  <si>
    <t>BRITISH JOURNAL OF HAEMATOLOGY</t>
  </si>
  <si>
    <t>BRITISH JOURNAL OF MATHEMATICAL &amp; STATISTICAL PSYCHOLOGY</t>
  </si>
  <si>
    <t>BRITISH JOURNAL OF NEUROSURGERY</t>
  </si>
  <si>
    <t>BRITISH JOURNAL OF NUTRITION</t>
  </si>
  <si>
    <t>BRITISH JOURNAL OF OPHTHALMOLOGY</t>
  </si>
  <si>
    <t>BRITISH JOURNAL OF ORAL &amp; MAXILLOFACIAL SURGERY</t>
  </si>
  <si>
    <t>BRITISH JOURNAL OF PHARMACOLOGY</t>
  </si>
  <si>
    <t>BRITISH JOURNAL FOR THE PHILOSOPHY OF SCIENCE</t>
  </si>
  <si>
    <t>BRITISH JOURNAL OF PSYCHIATRY</t>
  </si>
  <si>
    <t>BRITISH JOURNAL OF RADIOLOGY</t>
  </si>
  <si>
    <t>BRITISH JOURNAL OF SPORTS MEDICINE</t>
  </si>
  <si>
    <t>BRITISH JOURNAL OF SURGERY</t>
  </si>
  <si>
    <t>BRITISH MEDICAL BULLETIN</t>
  </si>
  <si>
    <t>CA-A CANCER JOURNAL FOR CLINICIANS</t>
  </si>
  <si>
    <t>CALCIFIED TISSUE INTERNATIONAL</t>
  </si>
  <si>
    <t>MATHEMATICAL MEDICINE AND BIOLOGY-A JOURNAL OF THE IMA</t>
  </si>
  <si>
    <t>MATRIX BIOLOGY</t>
  </si>
  <si>
    <t>MAYO CLINIC PROCEEDINGS</t>
  </si>
  <si>
    <t>MECHANISMS OF AGEING AND DEVELOPMENT</t>
  </si>
  <si>
    <t>MECHANISMS OF DEVELOPMENT</t>
  </si>
  <si>
    <t>MECHANICAL ENGINEERING</t>
  </si>
  <si>
    <t>MECHANISM AND MACHINE THEORY</t>
  </si>
  <si>
    <t>MECHANICAL SYSTEMS AND SIGNAL PROCESSING</t>
  </si>
  <si>
    <t>MEDICAL &amp; BIOLOGICAL ENGINEERING &amp; COMPUTING</t>
  </si>
  <si>
    <t>MEDICAL CARE</t>
  </si>
  <si>
    <t>MEDICAL CARE RESEARCH AND REVIEW</t>
  </si>
  <si>
    <t>MEDICINAL CHEMISTRY RESEARCH</t>
  </si>
  <si>
    <t>MEDICAL CLINICS OF NORTH AMERICA</t>
  </si>
  <si>
    <t>MEDICINA CLINICA</t>
  </si>
  <si>
    <t>MEDICAL DECISION MAKING</t>
  </si>
  <si>
    <t>MEDICAL EDUCATION</t>
  </si>
  <si>
    <t>MEDICAL ENGINEERING &amp; PHYSICS</t>
  </si>
  <si>
    <t>MEDICAL HISTORY</t>
  </si>
  <si>
    <t>MEDICAL HYPOTHESES</t>
  </si>
  <si>
    <t>MEDICAL IMAGE ANALYSIS</t>
  </si>
  <si>
    <t>MEDICAL JOURNAL OF AUSTRALIA</t>
  </si>
  <si>
    <t>MEDICAL LETTER ON DRUGS AND THERAPEUTICS</t>
  </si>
  <si>
    <t>MEDECINE ET MALADIES INFECTIEUSES</t>
  </si>
  <si>
    <t>MEDICAL MICROBIOLOGY AND IMMUNOLOGY</t>
  </si>
  <si>
    <t>Medical Molecular Morphology</t>
  </si>
  <si>
    <t>MEDICAL MYCOLOGY</t>
  </si>
  <si>
    <t>MEDICAL ONCOLOGY</t>
  </si>
  <si>
    <t>MEDICAL PHYSICS</t>
  </si>
  <si>
    <t>MEDICAL PRINCIPLES AND PRACTICE</t>
  </si>
  <si>
    <t>MEDICAL PROBLEMS OF PERFORMING ARTISTS</t>
  </si>
  <si>
    <t>MEDICINAL RESEARCH REVIEWS</t>
  </si>
  <si>
    <t>MEDICINE SCIENCE AND THE LAW</t>
  </si>
  <si>
    <t>MEDICAL SCIENCE MONITOR</t>
  </si>
  <si>
    <t>MEDICINE AND SCIENCE IN SPORTS AND EXERCISE</t>
  </si>
  <si>
    <t>MEDICINA DELLO SPORT</t>
  </si>
  <si>
    <t>MEDICAL TEACHER</t>
  </si>
  <si>
    <t>MEDICAL AND VETERINARY ENTOMOLOGY</t>
  </si>
  <si>
    <t>MEDIATORS OF INFLAMMATION</t>
  </si>
  <si>
    <t>MEDICINA-BUENOS AIRES</t>
  </si>
  <si>
    <t>MELANOMA RESEARCH</t>
  </si>
  <si>
    <t>MEMORIAS DO INSTITUTO OSWALDO CRUZ</t>
  </si>
  <si>
    <t>MENDELEEV COMMUNICATIONS</t>
  </si>
  <si>
    <t>MENOPAUSE-THE JOURNAL OF THE NORTH AMERICAN MENOPAUSE SOCIETY</t>
  </si>
  <si>
    <t>METABOLIC BRAIN DISEASE</t>
  </si>
  <si>
    <t>METABOLIC ENGINEERING</t>
  </si>
  <si>
    <t>METABOLISM-CLINICAL AND EXPERIMENTAL</t>
  </si>
  <si>
    <t>METHODS OF INFORMATION IN MEDICINE</t>
  </si>
  <si>
    <t>METHODOLOGY AND COMPUTING IN APPLIED PROBABILITY</t>
  </si>
  <si>
    <t>MICROBIAL ECOLOGY</t>
  </si>
  <si>
    <t>MICROBIAL PATHOGENESIS</t>
  </si>
  <si>
    <t>MICROBES AND INFECTION</t>
  </si>
  <si>
    <t>MICROBIOLOGY AND IMMUNOLOGY</t>
  </si>
  <si>
    <t>MICROBIOLOGY AND MOLECULAR BIOLOGY REVIEWS</t>
  </si>
  <si>
    <t>MICROBIOLOGICAL RESEARCH</t>
  </si>
  <si>
    <t>MICROBIOLOGY</t>
  </si>
  <si>
    <t>MICROBIOLOGY-SGM</t>
  </si>
  <si>
    <t>MICROCHEMICAL JOURNAL</t>
  </si>
  <si>
    <t>MICROCHIMICA ACTA</t>
  </si>
  <si>
    <t>MICROELECTRONIC ENGINEERING</t>
  </si>
  <si>
    <t>MICROSCOPY AND MICROANALYSIS</t>
  </si>
  <si>
    <t>MICROSCOPY RESEARCH AND TECHNIQUE</t>
  </si>
  <si>
    <t>MICROSURGERY</t>
  </si>
  <si>
    <t>MICROVASCULAR RESEARCH</t>
  </si>
  <si>
    <t>MICROWAVE AND OPTICAL TECHNOLOGY LETTERS</t>
  </si>
  <si>
    <t>MILBANK QUARTERLY</t>
  </si>
  <si>
    <t>MINERVA BIOTECNOLOGICA</t>
  </si>
  <si>
    <t>MINIMALLY INVASIVE THERAPY &amp; ALLIED TECHNOLOGIES</t>
  </si>
  <si>
    <t>MINI-REVIEWS IN MEDICINAL CHEMISTRY</t>
  </si>
  <si>
    <t>MINI-REVIEWS IN ORGANIC CHEMISTRY</t>
  </si>
  <si>
    <t>MODERN PATHOLOGY</t>
  </si>
  <si>
    <t>MOLECULAR AND BIOCHEMICAL PARASITOLOGY</t>
  </si>
  <si>
    <t>MOLECULAR BIOLOGY</t>
  </si>
  <si>
    <t>MOLECULAR BIOLOGY OF THE CELL</t>
  </si>
  <si>
    <t>MOLECULAR BIOLOGY AND EVOLUTION</t>
  </si>
  <si>
    <t>MOLECULAR BIOLOGY REPORTS</t>
  </si>
  <si>
    <t>MOLECULAR BIOTECHNOLOGY</t>
  </si>
  <si>
    <t>MOLECULAR BREEDING</t>
  </si>
  <si>
    <t>MOLECULAR CANCER RESEARCH</t>
  </si>
  <si>
    <t>MOLECULAR CANCER THERAPEUTICS</t>
  </si>
  <si>
    <t>MOLECULAR CARCINOGENESIS</t>
  </si>
  <si>
    <t>MOLECULAR CELL</t>
  </si>
  <si>
    <t>MOLECULAR AND CELLULAR BIOCHEMISTRY</t>
  </si>
  <si>
    <t>MOLECULAR AND CELLULAR BIOLOGY</t>
  </si>
  <si>
    <t>MOLECULAR AND CELLULAR ENDOCRINOLOGY</t>
  </si>
  <si>
    <t>MOLECULAR AND CELLULAR NEUROSCIENCE</t>
  </si>
  <si>
    <t>MOLECULAR AND CELLULAR PROBES</t>
  </si>
  <si>
    <t>MOLECULAR &amp; CELLULAR PROTEOMICS</t>
  </si>
  <si>
    <t>Molecular &amp; Cellular Toxicology</t>
  </si>
  <si>
    <t>MOLECULES AND CELLS</t>
  </si>
  <si>
    <t>Molecular Diagnosis &amp; Therapy</t>
  </si>
  <si>
    <t>MOLECULAR ECOLOGY</t>
  </si>
  <si>
    <t>CHEMIE IN UNSERER ZEIT</t>
  </si>
  <si>
    <t>CHEMICO-BIOLOGICAL INTERACTIONS</t>
  </si>
  <si>
    <t>CHEMISTRY-A EUROPEAN JOURNAL</t>
  </si>
  <si>
    <t>CHEMOMETRICS AND INTELLIGENT LABORATORY SYSTEMS</t>
  </si>
  <si>
    <t>CHILD CARE HEALTH AND DEVELOPMENT</t>
  </si>
  <si>
    <t>CHILDS NERVOUS SYSTEM</t>
  </si>
  <si>
    <t>CHILD NEUROPSYCHOLOGY</t>
  </si>
  <si>
    <t>CHILD PSYCHIATRY &amp; HUMAN DEVELOPMENT</t>
  </si>
  <si>
    <t>CHINA OCEAN ENGINEERING</t>
  </si>
  <si>
    <t>CHINESE CHEMICAL LETTERS</t>
  </si>
  <si>
    <t>CHINESE JOURNAL OF ANALYTICAL CHEMISTRY</t>
  </si>
  <si>
    <t>CHINESE JOURNAL OF CHEMISTRY</t>
  </si>
  <si>
    <t>CHINESE JOURNAL OF PHYSIOLOGY</t>
  </si>
  <si>
    <t>CHINESE MEDICAL JOURNAL</t>
  </si>
  <si>
    <t>CHROMOSOME RESEARCH</t>
  </si>
  <si>
    <t>CHRONOBIOLOGY INTERNATIONAL</t>
  </si>
  <si>
    <t>CIN-COMPUTERS INFORMATICS NURSING</t>
  </si>
  <si>
    <t>CIRCULATION JOURNAL</t>
  </si>
  <si>
    <t>CIRCULATION RESEARCH</t>
  </si>
  <si>
    <t>CLEFT PALATE-CRANIOFACIAL JOURNAL</t>
  </si>
  <si>
    <t>CLEVELAND CLINIC JOURNAL OF MEDICINE</t>
  </si>
  <si>
    <t>CLINICAL ANATOMY</t>
  </si>
  <si>
    <t>CLINICAL AND APPLIED THROMBOSIS-HEMOSTASIS</t>
  </si>
  <si>
    <t>CLINICAL AUTONOMIC RESEARCH</t>
  </si>
  <si>
    <t>CLINICAL BIOCHEMISTRY</t>
  </si>
  <si>
    <t>CLINICAL BIOMECHANICS</t>
  </si>
  <si>
    <t>CLINICAL CANCER RESEARCH</t>
  </si>
  <si>
    <t>CLINICAL CARDIOLOGY</t>
  </si>
  <si>
    <t>CLINICAL CHEMISTRY</t>
  </si>
  <si>
    <t>CLINICAL CHEMISTRY AND LABORATORY MEDICINE</t>
  </si>
  <si>
    <t>CLINICS IN CHEST MEDICINE</t>
  </si>
  <si>
    <t>CLINICA CHIMICA ACTA</t>
  </si>
  <si>
    <t>CLINICS IN DERMATOLOGY</t>
  </si>
  <si>
    <t>CLINICAL DRUG INVESTIGATION</t>
  </si>
  <si>
    <t>CLINICAL DYSMORPHOLOGY</t>
  </si>
  <si>
    <t>CLINICAL EEG AND NEUROSCIENCE</t>
  </si>
  <si>
    <t>CLINICAL ENDOCRINOLOGY</t>
  </si>
  <si>
    <t>CLINICAL AND EXPERIMENTAL ALLERGY</t>
  </si>
  <si>
    <t>CLINICAL AND EXPERIMENTAL DERMATOLOGY</t>
  </si>
  <si>
    <t>CLINICAL AND EXPERIMENTAL HYPERTENSION</t>
  </si>
  <si>
    <t>CLINICAL AND EXPERIMENTAL IMMUNOLOGY</t>
  </si>
  <si>
    <t>CLINICAL AND EXPERIMENTAL MEDICINE</t>
  </si>
  <si>
    <t>CLINICAL &amp; EXPERIMENTAL METASTASIS</t>
  </si>
  <si>
    <t>CLINICAL AND EXPERIMENTAL OPHTHALMOLOGY</t>
  </si>
  <si>
    <t>CLINICAL AND EXPERIMENTAL PHARMACOLOGY AND PHYSIOLOGY</t>
  </si>
  <si>
    <t>CLINICAL AND EXPERIMENTAL RHEUMATOLOGY</t>
  </si>
  <si>
    <t>CLINICAL GENETICS</t>
  </si>
  <si>
    <t>CLINICS IN GERIATRIC MEDICINE</t>
  </si>
  <si>
    <t>CLINICAL HEMORHEOLOGY AND MICROCIRCULATION</t>
  </si>
  <si>
    <t>CLINICAL IMAGING</t>
  </si>
  <si>
    <t>CLINICAL IMMUNOLOGY</t>
  </si>
  <si>
    <t>CLINICAL INFECTIOUS DISEASES</t>
  </si>
  <si>
    <t>Clinical and Investigative Medicine</t>
  </si>
  <si>
    <t>Clinical Journal of the American Society of Nephrology</t>
  </si>
  <si>
    <t>CLINICAL JOURNAL OF PAIN</t>
  </si>
  <si>
    <t>CLINICAL JOURNAL OF SPORT MEDICINE</t>
  </si>
  <si>
    <t>CLINICS IN LABORATORY MEDICINE</t>
  </si>
  <si>
    <t>CLINICAL MEDICINE</t>
  </si>
  <si>
    <t>CLINICAL MICROBIOLOGY AND INFECTION</t>
  </si>
  <si>
    <t>CLINICAL MICROBIOLOGY REVIEWS</t>
  </si>
  <si>
    <t>CLINICAL NEPHROLOGY</t>
  </si>
  <si>
    <t>CLINICAL NEUROLOGY AND NEUROSURGERY</t>
  </si>
  <si>
    <t>CLINICAL NEUROPATHOLOGY</t>
  </si>
  <si>
    <t>CLINICAL NEUROPHARMACOLOGY</t>
  </si>
  <si>
    <t>CLINICAL NEUROPHYSIOLOGY</t>
  </si>
  <si>
    <t>CLINICAL NEUROPSYCHOLOGIST</t>
  </si>
  <si>
    <t>CLINICAL NUCLEAR MEDICINE</t>
  </si>
  <si>
    <t>CLINICAL NUTRITION</t>
  </si>
  <si>
    <t>CLINICAL OBSTETRICS AND GYNECOLOGY</t>
  </si>
  <si>
    <t>CLINICAL ONCOLOGY</t>
  </si>
  <si>
    <t>CLINICAL ORAL IMPLANTS RESEARCH</t>
  </si>
  <si>
    <t>CLINICAL ORTHOPAEDICS AND RELATED RESEARCH</t>
  </si>
  <si>
    <t>CLINICAL OTOLARYNGOLOGY</t>
  </si>
  <si>
    <t>CLINICAL PEDIATRICS</t>
  </si>
  <si>
    <t>CLINICS IN PERINATOLOGY</t>
  </si>
  <si>
    <t>CLINICAL PHARMACOKINETICS</t>
  </si>
  <si>
    <t>CLINICAL PHARMACOLOGY &amp; THERAPEUTICS</t>
  </si>
  <si>
    <t>CLINICAL PHYSIOLOGY AND FUNCTIONAL IMAGING</t>
  </si>
  <si>
    <t>CLINICS IN PLASTIC SURGERY</t>
  </si>
  <si>
    <t>CLINICAL RADIOLOGY</t>
  </si>
  <si>
    <t>CLINICAL REHABILITATION</t>
  </si>
  <si>
    <t>Clinical Research in Cardiology</t>
  </si>
  <si>
    <t>CLINICAL REVIEWS IN ALLERGY &amp; IMMUNOLOGY</t>
  </si>
  <si>
    <t>CLINICAL RHEUMATOLOGY</t>
  </si>
  <si>
    <t>CLINICAL SCIENCE</t>
  </si>
  <si>
    <t>CLINICS IN SPORTS MEDICINE</t>
  </si>
  <si>
    <t>CLINICAL THERAPEUTICS</t>
  </si>
  <si>
    <t>CLINICAL TRANSPLANTATION</t>
  </si>
  <si>
    <t>Cognitive and Behavioral Neurology</t>
  </si>
  <si>
    <t>COGNITIVE NEUROPSYCHOLOGY</t>
  </si>
  <si>
    <t>COGNITIVE PSYCHOLOGY</t>
  </si>
  <si>
    <t>COLLOIDS AND SURFACES B-BIOINTERFACES</t>
  </si>
  <si>
    <t>COMBINATORIAL CHEMISTRY &amp; HIGH THROUGHPUT SCREENING</t>
  </si>
  <si>
    <t>COMBINATORICS PROBABILITY &amp; COMPUTING</t>
  </si>
  <si>
    <t>COMMUNICATIONS IN SOIL SCIENCE AND PLANT ANALYSIS</t>
  </si>
  <si>
    <t>COMMUNICATIONS IN STATISTICS-SIMULATION AND COMPUTATION</t>
  </si>
  <si>
    <t>COMMUNICATIONS IN STATISTICS-THEORY AND METHODS</t>
  </si>
  <si>
    <t>COMMUNITY DENTISTRY AND ORAL EPIDEMIOLOGY</t>
  </si>
  <si>
    <t>COMPARATIVE BIOCHEMISTRY AND PHYSIOLOGY B-BIOCHEMISTRY &amp; MOLECULAR BIOLOGY</t>
  </si>
  <si>
    <t>COMPARATIVE BIOCHEMISTRY AND PHYSIOLOGY C-TOXICOLOGY &amp; PHARMACOLOGY</t>
  </si>
  <si>
    <t>Comparative Biochemistry and Physiology D-Genomics &amp; Proteomics</t>
  </si>
  <si>
    <t>COMPARATIVE IMMUNOLOGY MICROBIOLOGY AND INFECTIOUS DISEASES</t>
  </si>
  <si>
    <t>COMPARATIVE PARASITOLOGY</t>
  </si>
  <si>
    <t>COMPARATIVE MEDICINE</t>
  </si>
  <si>
    <t>COMPLEMENTARY THERAPIES IN MEDICINE</t>
  </si>
  <si>
    <t>COMPREHENSIVE PSYCHIATRY</t>
  </si>
  <si>
    <t>COMPUTER APPLICATIONS IN ENGINEERING EDUCATION</t>
  </si>
  <si>
    <t>COMPUTATIONAL BIOLOGY AND CHEMISTRY</t>
  </si>
  <si>
    <t>COMPUTERS IN BIOLOGY AND MEDICINE</t>
  </si>
  <si>
    <t>COMPUTERIZED MEDICAL IMAGING AND GRAPHICS</t>
  </si>
  <si>
    <t>COMPUTER METHODS AND PROGRAMS IN BIOMEDICINE</t>
  </si>
  <si>
    <t>COMPUTATIONAL STATISTICS &amp; DATA ANALYSIS</t>
  </si>
  <si>
    <t>COMPUTATIONAL STATISTICS</t>
  </si>
  <si>
    <t>CONCEPTS IN MAGNETIC RESONANCE PART A</t>
  </si>
  <si>
    <t>CONNECTIVE TISSUE RESEARCH</t>
  </si>
  <si>
    <t>CONSERVATION GENETICS</t>
  </si>
  <si>
    <t>Contemporary Clinical Trials</t>
  </si>
  <si>
    <t>CORONARY ARTERY DISEASE</t>
  </si>
  <si>
    <t>COMPTES RENDUS BIOLOGIES</t>
  </si>
  <si>
    <t>COMPTES RENDUS CHIMIE</t>
  </si>
  <si>
    <t>CRITICAL CARE</t>
  </si>
  <si>
    <t>CRITICAL CARE CLINICS</t>
  </si>
  <si>
    <t>CRITICAL CARE MEDICINE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</si>
  <si>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</si>
  <si>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</si>
  <si>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</si>
  <si>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</si>
  <si>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EUKARYOTIC GENE EXPRESSION</t>
  </si>
  <si>
    <t>CRITICAL REVIEWS IN FOOD SCIENCE AND NUTRITION</t>
  </si>
  <si>
    <t>CRITICAL REVIEWS IN IMMUNOLOGY</t>
  </si>
  <si>
    <t>CRITICAL REVIEWS IN MICROBIOLOGY</t>
  </si>
  <si>
    <t>CRITICAL REVIEWS IN ONCOLOGY HEMATOLOGY</t>
  </si>
  <si>
    <t>CRITICAL REVIEWS IN THERAPEUTIC DRUG CARRIER SYSTEMS</t>
  </si>
  <si>
    <t>CRITICAL REVIEWS IN TOXICOLOGY</t>
  </si>
  <si>
    <t>CROATICA CHEMICA ACTA</t>
  </si>
  <si>
    <t>CROATIAN MEDICAL JOURNAL</t>
  </si>
  <si>
    <t>CRYPTOGAMIE MYCOLOGIE</t>
  </si>
  <si>
    <t>CRYSTAL GROWTH &amp; DESIGN</t>
  </si>
  <si>
    <t>CURRENT ALLERGY AND ASTHMA REPORTS</t>
  </si>
  <si>
    <t>Current Analytical Chemistry</t>
  </si>
  <si>
    <t>CURRENT BIOLOGY</t>
  </si>
  <si>
    <t>CURRENT CANCER DRUG TARGETS</t>
  </si>
  <si>
    <t>CURRENT DRUG METABOLISM</t>
  </si>
  <si>
    <t>CURRENT DRUG TARGETS</t>
  </si>
  <si>
    <t>CURRENT EYE RESEARCH</t>
  </si>
  <si>
    <t>CURRENT GENE THERAPY</t>
  </si>
  <si>
    <t>CURRENT GENETICS</t>
  </si>
  <si>
    <t>CURRENT GENOMICS</t>
  </si>
  <si>
    <t>CURRENT HIV RESEARCH</t>
  </si>
  <si>
    <t>CURRENT HYPERTENSION REPORTS</t>
  </si>
  <si>
    <t>CURRENT ISSUES IN MOLECULAR BIOLOGY</t>
  </si>
  <si>
    <t>CURRENT MEDICINAL CHEMISTRY</t>
  </si>
  <si>
    <t>CURRENT MEDICAL RESEARCH AND OPINION</t>
  </si>
  <si>
    <t>CURRENT MICROBIOLOGY</t>
  </si>
  <si>
    <t>CURRENT MOLECULAR MEDICINE</t>
  </si>
  <si>
    <t>Current Nanoscience</t>
  </si>
  <si>
    <t>Current Neuropharmacology</t>
  </si>
  <si>
    <t>CURRENT NEUROVASCULAR RESEARCH</t>
  </si>
  <si>
    <t>CURRENT OPINION IN BIOTECHNOLOGY</t>
  </si>
  <si>
    <t>CURRENT OPINION IN CARDIOLOGY</t>
  </si>
  <si>
    <t>CURRENT OPINION IN CELL BIOLOGY</t>
  </si>
  <si>
    <t>CURRENT OPINION IN CHEMICAL BIOLOGY</t>
  </si>
  <si>
    <t>CURRENT OPINION IN CLINICAL NUTRITION AND METABOLIC CARE</t>
  </si>
  <si>
    <t>CURRENT OPINION IN GASTROENTEROLOGY</t>
  </si>
  <si>
    <t>CURRENT OPINION IN GENETICS &amp; DEVELOPMENT</t>
  </si>
  <si>
    <t>CURRENT OPINION IN HEMATOLOGY</t>
  </si>
  <si>
    <t>CURRENT OPINION IN IMMUNOLOGY</t>
  </si>
  <si>
    <t>CURRENT OPINION IN INFECTIOUS DISEASES</t>
  </si>
  <si>
    <t>CURRENT OPINION IN LIPIDOLOGY</t>
  </si>
  <si>
    <t>CURRENT OPINION IN MICROBIOLOGY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</si>
  <si>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</si>
  <si>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</si>
  <si>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</si>
  <si>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</si>
  <si>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</si>
  <si>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PEDIATRICS</t>
  </si>
  <si>
    <t>CURRENT OPINION IN PHARMACOLOGY</t>
  </si>
  <si>
    <t>CURRENT OPINION IN PSYCHIATRY</t>
  </si>
  <si>
    <t>CURRENT OPINION IN PULMONARY MEDICINE</t>
  </si>
  <si>
    <t>CURRENT OPINION IN RHEUMATOLOGY</t>
  </si>
  <si>
    <t>CURRENT OPINION IN STRUCTURAL BIOLOGY</t>
  </si>
  <si>
    <t>CURRENT OPINION IN UROLOGY</t>
  </si>
  <si>
    <t>CURRENT ORGANIC CHEMISTRY</t>
  </si>
  <si>
    <t>CURRENT ORGANIC SYNTHESIS</t>
  </si>
  <si>
    <t>Current Pharmaceutical Analysis</t>
  </si>
  <si>
    <t>CURRENT PHARMACEUTICAL BIOTECHNOLOGY</t>
  </si>
  <si>
    <t>CURRENT PHARMACEUTICAL DESIGN</t>
  </si>
  <si>
    <t>CURRENT PROBLEMS IN CANCER</t>
  </si>
  <si>
    <t>CURRENT PROBLEMS IN CARDIOLOGY</t>
  </si>
  <si>
    <t>CURRENT PROBLEMS IN SURGERY</t>
  </si>
  <si>
    <t>CURRENT PROTEIN &amp; PEPTIDE SCIENCE</t>
  </si>
  <si>
    <t>CURRENT SCIENCE</t>
  </si>
  <si>
    <t>CURRENT TOPICS IN MEDICINAL CHEMISTRY</t>
  </si>
  <si>
    <t>Current Vascular Pharmacology</t>
  </si>
  <si>
    <t>Cutaneous and Ocular Toxicology</t>
  </si>
  <si>
    <t>CYTOGENETIC AND GENOME RESEARCH</t>
  </si>
  <si>
    <t>CYTOKINE &amp; GROWTH FACTOR REVIEWS</t>
  </si>
  <si>
    <t>CYTOMETRY PART A</t>
  </si>
  <si>
    <t>CYTOMETRY PART B-CLINICAL CYTOMETRY</t>
  </si>
  <si>
    <t>DEFENCE SCIENCE JOURNAL</t>
  </si>
  <si>
    <t>DEMENTIA AND GERIATRIC COGNITIVE DISORDERS</t>
  </si>
  <si>
    <t>DENTAL MATERIALS</t>
  </si>
  <si>
    <t>DENTAL TRAUMATOLOGY</t>
  </si>
  <si>
    <t>DENTOMAXILLOFACIAL RADIOLOGY</t>
  </si>
  <si>
    <t>DEPRESSION AND ANXIETY</t>
  </si>
  <si>
    <t>DERMATOLOGIC CLINICS</t>
  </si>
  <si>
    <t>DERMATOLOGIC SURGERY</t>
  </si>
  <si>
    <t>DEUTSCHE MEDIZINISCHE WOCHENSCHRIFT</t>
  </si>
  <si>
    <t>DEVELOPMENTAL BIOLOGY</t>
  </si>
  <si>
    <t>DEVELOPMENTAL CELL</t>
  </si>
  <si>
    <t>DEVELOPMENTAL AND COMPARATIVE IMMUNOLOGY</t>
  </si>
  <si>
    <t>DEVELOPMENTAL DYNAMICS</t>
  </si>
  <si>
    <t>DEVELOPMENT GENES AND EVOLUTION</t>
  </si>
  <si>
    <t>DEVELOPMENT GROWTH &amp; DIFFERENTIATION</t>
  </si>
  <si>
    <t>DEVELOPMENTAL MEDICINE AND CHILD NEUROLOGY</t>
  </si>
  <si>
    <t>DEVELOPMENTAL NEUROPSYCHOLOGY</t>
  </si>
  <si>
    <t>DEVELOPMENTAL NEUROSCIENCE</t>
  </si>
  <si>
    <t>DEVELOPMENTAL PSYCHOBIOLOGY</t>
  </si>
  <si>
    <t>DIABETES &amp; METABOLISM</t>
  </si>
  <si>
    <t>DIABETES OBESITY &amp; METABOLISM</t>
  </si>
  <si>
    <t>DIABETES RESEARCH AND CLINICAL PRACTICE</t>
  </si>
  <si>
    <t>DIABETES-METABOLISM RESEARCH AND REVIEWS</t>
  </si>
  <si>
    <t>DIABETIC MEDICINE</t>
  </si>
  <si>
    <t>DIAGNOSTIC CYTOPATHOLOGY</t>
  </si>
  <si>
    <t>DIAGNOSTIC MICROBIOLOGY AND INFECTIOUS DISEASE</t>
  </si>
  <si>
    <t>DIGESTIVE DISEASES</t>
  </si>
  <si>
    <t>DIGESTIVE DISEASES AND SCIENCES</t>
  </si>
  <si>
    <t>DIGESTIVE AND LIVER DISEASE</t>
  </si>
  <si>
    <t>DIGESTIVE SURGERY</t>
  </si>
  <si>
    <t>DISEASES OF AQUATIC ORGANISMS</t>
  </si>
  <si>
    <t>DISEASES OF THE COLON &amp; RECTUM</t>
  </si>
  <si>
    <t>DISEASES OF THE ESOPHAGUS</t>
  </si>
  <si>
    <t>DISEASE MARKERS</t>
  </si>
  <si>
    <t>DISABILITY AND REHABILITATION</t>
  </si>
  <si>
    <t>DISCRETE DYNAMICS IN NATURE AND SOCIETY</t>
  </si>
  <si>
    <t>DM DISEASE-A-MONTH</t>
  </si>
  <si>
    <t>DNA AND CELL BIOLOGY</t>
  </si>
  <si>
    <t>DNA RESEARCH</t>
  </si>
  <si>
    <t>DOCUMENTA OPHTHALMOLOGICA</t>
  </si>
  <si>
    <t>DOKLADY CHEMISTRY</t>
  </si>
  <si>
    <t>DOMESTIC ANIMAL ENDOCRINOLOGY</t>
  </si>
  <si>
    <t>DRUGS &amp; AGING</t>
  </si>
  <si>
    <t>DRUG AND ALCOHOL DEPENDENCE</t>
  </si>
  <si>
    <t>DRUG AND CHEMICAL TOXICOLOGY</t>
  </si>
  <si>
    <t>DRUG DELIVERY</t>
  </si>
  <si>
    <t>DRUG DEVELOPMENT AND INDUSTRIAL PHARMACY</t>
  </si>
  <si>
    <t>DRUG DEVELOPMENT RESEARCH</t>
  </si>
  <si>
    <t>DRUG DISCOVERY TODAY</t>
  </si>
  <si>
    <t>DRUGS OF THE FUTURE</t>
  </si>
  <si>
    <t>DRUG METABOLISM AND DISPOSITION</t>
  </si>
  <si>
    <t>DRUG METABOLISM REVIEWS</t>
  </si>
  <si>
    <t>DRUG RESISTANCE UPDATES</t>
  </si>
  <si>
    <t>DRUGS OF TODAY</t>
  </si>
  <si>
    <t>DRYING TECHNOLOGY</t>
  </si>
  <si>
    <t>EAR AND HEARING</t>
  </si>
  <si>
    <t>EARLY HUMAN DEVELOPMENT</t>
  </si>
  <si>
    <t>ECOLOGY OF FOOD AND NUTRITION</t>
  </si>
  <si>
    <t>ECOTOXICOLOGY AND ENVIRONMENTAL SAFETY</t>
  </si>
  <si>
    <t>EJSO</t>
  </si>
  <si>
    <t>ELECTROANALYSIS</t>
  </si>
  <si>
    <t>ELECTROMAGNETIC BIOLOGY AND MEDICINE</t>
  </si>
  <si>
    <t>ELECTRONIC COMMUNICATIONS IN PROBABILITY</t>
  </si>
  <si>
    <t>ELECTRONIC JOURNAL OF BIOTECHNOLOGY</t>
  </si>
  <si>
    <t>ELECTRONIC JOURNAL OF PROBABILITY</t>
  </si>
  <si>
    <t>EMBO JOURNAL</t>
  </si>
  <si>
    <t>EMBO REPORTS</t>
  </si>
  <si>
    <t>EMERGING INFECTIOUS DISEASES</t>
  </si>
  <si>
    <t>EMERGENCY MEDICINE CLINICS OF NORTH AMERICA</t>
  </si>
  <si>
    <t>EMERGENCY MEDICINE JOURNAL</t>
  </si>
  <si>
    <t>ENCEPHALE-REVUE DE PSYCHIATRIE CLINIQUE BIOLOGIQUE ET THERAPEUTIQUE</t>
  </si>
  <si>
    <t>ENDOCRINE JOURNAL</t>
  </si>
  <si>
    <t>ENDOCRINE PATHOLOGY</t>
  </si>
  <si>
    <t>ENDOCRINE RESEARCH</t>
  </si>
  <si>
    <t>ENDOCRINE REVIEWS</t>
  </si>
  <si>
    <t>ENDOCRINOLOGY AND METABOLISM CLINICS OF NORTH AMERICA</t>
  </si>
  <si>
    <t>ENDOCRINE-RELATED CANCER</t>
  </si>
  <si>
    <t>ENFERMEDADES INFECCIOSAS Y MICROBIOLOGIA CLINICA</t>
  </si>
  <si>
    <t>ENGINEERING COMPUTATIONS</t>
  </si>
  <si>
    <t>ENGINEERING WITH COMPUTERS</t>
  </si>
  <si>
    <t>ENGINEERING FAILURE ANALYSIS</t>
  </si>
  <si>
    <t>ENGINEERING IN LIFE SCIENCES</t>
  </si>
  <si>
    <t>Environmental Chemistry Letters</t>
  </si>
  <si>
    <t>ENVIRONMENTAL AND ECOLOGICAL STATISTICS</t>
  </si>
  <si>
    <t>ENVIRONMENTAL GEOCHEMISTRY AND HEALTH</t>
  </si>
  <si>
    <t>ENVIRONMENTAL HEALTH PERSPECTIVES</t>
  </si>
  <si>
    <t>ENVIRONMENTAL MICROBIOLOGY</t>
  </si>
  <si>
    <t>ENVIRONMENTAL AND MOLECULAR MUTAGENESIS</t>
  </si>
  <si>
    <t>ENVIRONMENTAL RESEARCH</t>
  </si>
  <si>
    <t>ENVIRONMENTAL TOXICOLOGY</t>
  </si>
  <si>
    <t>ENVIRONMENTAL TOXICOLOGY AND CHEMISTRY</t>
  </si>
  <si>
    <t>ENVIRONMENTAL TOXICOLOGY AND PHARMACOLOGY</t>
  </si>
  <si>
    <t>ENZYME AND MICROBIAL TECHNOLOGY</t>
  </si>
  <si>
    <t>EPIDEMIOLOGY AND INFECTION</t>
  </si>
  <si>
    <t>EPIDEMIOLOGIC REVIEWS</t>
  </si>
  <si>
    <t>EPILEPSY &amp; BEHAVIOR</t>
  </si>
  <si>
    <t>EPILEPSY RESEARCH</t>
  </si>
  <si>
    <t>EPILEPTIC DISORDERS</t>
  </si>
  <si>
    <t>EQUINE VETERINARY EDUCATION</t>
  </si>
  <si>
    <t>EQUINE VETERINARY JOURNAL</t>
  </si>
  <si>
    <t>ETHNICITY &amp; DISEASE</t>
  </si>
  <si>
    <t>ETHNICITY &amp; HEALTH</t>
  </si>
  <si>
    <t>EUROPEAN ARCHIVES OF OTO-RHINO-LARYNGOLOGY</t>
  </si>
  <si>
    <t>EUROPEAN ARCHIVES OF PSYCHIATRY AND CLINICAL NEUROSCIENCE</t>
  </si>
  <si>
    <t>EUROPEAN BIOPHYSICS JOURNAL WITH BIOPHYSICS LETTERS</t>
  </si>
  <si>
    <t>EUROPEAN CYTOKINE NETWORK</t>
  </si>
  <si>
    <t>EUROPEAN HEART JOURNAL</t>
  </si>
  <si>
    <t>EUROPEAN HEART JOURNAL SUPPLEMENTS</t>
  </si>
  <si>
    <t>EUROPEAN JOURNAL OF ANAESTHESIOLOGY</t>
  </si>
  <si>
    <t>EUROPEAN JOURNAL OF APPLIED PHYSIOLOGY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</si>
  <si>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</si>
  <si>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</si>
  <si>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</si>
  <si>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</si>
  <si>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CELL BIOLOGY</t>
  </si>
  <si>
    <t>EUROPEAN JOURNAL OF CLINICAL INVESTIGATION</t>
  </si>
  <si>
    <t>EUROPEAN JOURNAL OF CLINICAL MICROBIOLOGY &amp; INFECTIOUS DISEASES</t>
  </si>
  <si>
    <t>EUROPEAN JOURNAL OF CLINICAL NUTRITION</t>
  </si>
  <si>
    <t>EUROPEAN JOURNAL OF CLINICAL PHARMACOLOGY</t>
  </si>
  <si>
    <t>EUROPEAN JOURNAL OF CONTRACEPTION AND REPRODUCTIVE HEALTH CARE</t>
  </si>
  <si>
    <t>EUROPEAN JOURNAL OF DERMATOLOGY</t>
  </si>
  <si>
    <t>EUROPEAN JOURNAL OF DRUG METABOLISM AND PHARMACOKINETICS</t>
  </si>
  <si>
    <t>EUROPEAN JOURNAL OF ENDOCRINOLOGY</t>
  </si>
  <si>
    <t>EUROPEAN JOURNAL OF EPIDEMIOLOGY</t>
  </si>
  <si>
    <t>EUROPEAN JOURNAL OF GASTROENTEROLOGY &amp; HEPATOLOGY</t>
  </si>
  <si>
    <t>EUROPEAN JOURNAL OF GYNAECOLOGICAL ONCOLOGY</t>
  </si>
  <si>
    <t>EUROPEAN JOURNAL OF HAEMATOLOGY</t>
  </si>
  <si>
    <t>EUROPEAN JOURNAL OF HEART FAILURE</t>
  </si>
  <si>
    <t>EUROPEAN JOURNAL OF HISTOCHEMISTRY</t>
  </si>
  <si>
    <t>EUROPEAN JOURNAL OF HUMAN GENETICS</t>
  </si>
  <si>
    <t>EUROPEAN JOURNAL OF IMMUNOLOGY</t>
  </si>
  <si>
    <t>EUROPEAN JOURNAL OF LIPID SCIENCE AND TECHNOLOGY</t>
  </si>
  <si>
    <t>EUROPEAN JOURNAL OF MEDICINAL CHEMISTRY</t>
  </si>
  <si>
    <t>European Journal of Medical Genetics</t>
  </si>
  <si>
    <t>EUROPEAN JOURNAL OF MEDICAL RESEARCH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</si>
  <si>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</si>
  <si>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</si>
  <si>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</si>
  <si>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</si>
  <si>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OPHTHALMOLOGY</t>
  </si>
  <si>
    <t>EUROPEAN JOURNAL OF ORAL SCIENCES</t>
  </si>
  <si>
    <t>EUROPEAN JOURNAL OF ORGANIC CHEMISTRY</t>
  </si>
  <si>
    <t>EUROPEAN JOURNAL OF ORTHODONTICS</t>
  </si>
  <si>
    <t>EUROPEAN JOURNAL OF PAEDIATRIC NEUROLOGY</t>
  </si>
  <si>
    <t>EUROPEAN JOURNAL OF PAIN</t>
  </si>
  <si>
    <t>EUROPEAN JOURNAL OF PEDIATRICS</t>
  </si>
  <si>
    <t>EUROPEAN JOURNAL OF PEDIATRIC SURGERY</t>
  </si>
  <si>
    <t>EUROPEAN JOURNAL OF PHARMACEUTICS AND BIOPHARMACEUTICS</t>
  </si>
  <si>
    <t>EUROPEAN JOURNAL OF PHARMACEUTICAL SCIENCES</t>
  </si>
  <si>
    <t>EUROPEAN JOURNAL OF PHARMACOLOGY</t>
  </si>
  <si>
    <t>EUROPEAN JOURNAL OF PHYSICS</t>
  </si>
  <si>
    <t>EUROPEAN JOURNAL OF PROTISTOLOGY</t>
  </si>
  <si>
    <t>EUROPEAN JOURNAL OF PUBLIC HEALTH</t>
  </si>
  <si>
    <t>EUROPEAN JOURNAL OF RADIOLOGY</t>
  </si>
  <si>
    <t>EUROPEAN JOURNAL OF VASCULAR AND ENDOVASCULAR SURGERY</t>
  </si>
  <si>
    <t>EUROPEAN NEUROLOGY</t>
  </si>
  <si>
    <t>EUROPEAN NEUROPSYCHOPHARMACOLOGY</t>
  </si>
  <si>
    <t>EUROPEAN PSYCHIATRY</t>
  </si>
  <si>
    <t>EUROPEAN RADIOLOGY</t>
  </si>
  <si>
    <t>EUROPEAN RESPIRATORY JOURNAL</t>
  </si>
  <si>
    <t>EUROPEAN SPINE JOURNAL</t>
  </si>
  <si>
    <t>EUROPEAN SURGICAL RESEARCH</t>
  </si>
  <si>
    <t>EUROPEAN UROLOGY</t>
  </si>
  <si>
    <t>EUROPEAN UROLOGY SUPPLEMENTS</t>
  </si>
  <si>
    <t>EVALUATION &amp; THE HEALTH PROFESSIONS</t>
  </si>
  <si>
    <t>EVOLUTION &amp; DEVELOPMENT</t>
  </si>
  <si>
    <t>EVOLUTIONARY ECOLOGY</t>
  </si>
  <si>
    <t>EXERCISE IMMUNOLOGY REVIEW</t>
  </si>
  <si>
    <t>EXERCISE AND SPORT SCIENCES REVIEWS</t>
  </si>
  <si>
    <t>EXPERIMENTAL AGING RESEARCH</t>
  </si>
  <si>
    <t>EXPERIMENTAL ANIMALS</t>
  </si>
  <si>
    <t>EXPERIMENTAL BIOLOGY AND MEDICINE</t>
  </si>
  <si>
    <t>EXPERIMENTAL BRAIN RESEARCH</t>
  </si>
  <si>
    <t>EXPERIMENTAL CELL RESEARCH</t>
  </si>
  <si>
    <t>EXPERIMENTAL AND CLINICAL ENDOCRINOLOGY &amp; DIABETES</t>
  </si>
  <si>
    <t>EXPERIMENTAL AND CLINICAL PSYCHOPHARMACOLOGY</t>
  </si>
  <si>
    <t>EXPERIMENTAL DERMATOLOGY</t>
  </si>
  <si>
    <t>EXPERIMENTAL EYE RESEARCH</t>
  </si>
  <si>
    <t>EXPERIMENTS IN FLUIDS</t>
  </si>
  <si>
    <t>EXPERIMENTAL GERONTOLOGY</t>
  </si>
  <si>
    <t>EXPERIMENTAL HEAT TRANSFER</t>
  </si>
  <si>
    <t>EXPERIMENTAL HEMATOLOGY</t>
  </si>
  <si>
    <t>EXPERIMENTAL LUNG RESEARCH</t>
  </si>
  <si>
    <t>EXPERIMENTAL AND MOLECULAR MEDICINE</t>
  </si>
  <si>
    <t>EXPERIMENTAL AND MOLECULAR PATHOLOGY</t>
  </si>
  <si>
    <t>EXPERIMENTAL NEUROLOGY</t>
  </si>
  <si>
    <t>EXPERIMENTAL PARASITOLOGY</t>
  </si>
  <si>
    <t>EXPERIMENTAL PHYSIOLOGY</t>
  </si>
  <si>
    <t>EXPERIMENTAL TECHNIQUES</t>
  </si>
  <si>
    <t>EXPERIMENTAL THERMAL AND FLUID SCIENCE</t>
  </si>
  <si>
    <t>EXPERT OPINION ON BIOLOGICAL THERAPY</t>
  </si>
  <si>
    <t>EXPERT OPINION ON INVESTIGATIONAL DRUGS</t>
  </si>
  <si>
    <t>EXPERT OPINION ON PHARMACOTHERAPY</t>
  </si>
  <si>
    <t>EXPERT OPINION ON THERAPEUTIC PATENTS</t>
  </si>
  <si>
    <t>EXPERT OPINION ON THERAPEUTIC TARGETS</t>
  </si>
  <si>
    <t>Expert Review of Medical Devices</t>
  </si>
  <si>
    <t>EXPERT REVIEW OF MOLECULAR DIAGNOSTICS</t>
  </si>
  <si>
    <t>Expert Review of Proteomics</t>
  </si>
  <si>
    <t>Explore-The Journal of Science and Healing</t>
  </si>
  <si>
    <t>FAMILY MEDICINE</t>
  </si>
  <si>
    <t>FAMILY PRACTICE</t>
  </si>
  <si>
    <t>FASEB JOURNAL</t>
  </si>
  <si>
    <t>FATIGUE &amp; FRACTURE OF ENGINEERING MATERIALS &amp; STRUCTURES</t>
  </si>
  <si>
    <t>FEBS Journal</t>
  </si>
  <si>
    <t>FEBS LETTERS</t>
  </si>
  <si>
    <t>FEMS MICROBIOLOGY ECOLOGY</t>
  </si>
  <si>
    <t>FEMS MICROBIOLOGY LETTERS</t>
  </si>
  <si>
    <t>FEMS MICROBIOLOGY REVIEWS</t>
  </si>
  <si>
    <t>FEMS YEAST RESEARCH</t>
  </si>
  <si>
    <t>FERTILITY AND STERILITY</t>
  </si>
  <si>
    <t>FETAL DIAGNOSIS AND THERAPY</t>
  </si>
  <si>
    <t>Fetal and Pediatric Pathology</t>
  </si>
  <si>
    <t>FIBER AND INTEGRATED OPTICS</t>
  </si>
  <si>
    <t>FIBRE CHEMISTRY</t>
  </si>
  <si>
    <t>FINANCE AND STOCHASTICS</t>
  </si>
  <si>
    <t>FISH PATHOLOGY</t>
  </si>
  <si>
    <t>FISH PHYSIOLOGY AND BIOCHEMISTRY</t>
  </si>
  <si>
    <t>FISH &amp; SHELLFISH IMMUNOLOGY</t>
  </si>
  <si>
    <t>FLOW MEASUREMENT AND INSTRUMENTATION</t>
  </si>
  <si>
    <t>FOLIA BIOLOGICA-KRAKOW</t>
  </si>
  <si>
    <t>FOLIA BIOLOGICA</t>
  </si>
  <si>
    <t>FOLIA HISTOCHEMICA ET CYTOBIOLOGICA</t>
  </si>
  <si>
    <t>FOLIA MICROBIOLOGICA</t>
  </si>
  <si>
    <t>FOLIA NEUROPATHOLOGICA</t>
  </si>
  <si>
    <t>FOLIA PARASITOLOGICA</t>
  </si>
  <si>
    <t>FOOD AND AGRICULTURAL IMMUNOLOGY</t>
  </si>
  <si>
    <t>FOOD AND BIOPRODUCTS PROCESSING</t>
  </si>
  <si>
    <t>FOOD BIOTECHNOLOGY</t>
  </si>
  <si>
    <t>FOOD CHEMISTRY</t>
  </si>
  <si>
    <t>FOOD AND CHEMICAL TOXICOLOGY</t>
  </si>
  <si>
    <t>FOOD AND DRUG LAW JOURNAL</t>
  </si>
  <si>
    <t>FOOD MICROBIOLOGY</t>
  </si>
  <si>
    <t>FOOD REVIEWS INTERNATIONAL</t>
  </si>
  <si>
    <t>FOOD TECHNOLOGY AND BIOTECHNOLOGY</t>
  </si>
  <si>
    <t>FOOT &amp; ANKLE INTERNATIONAL</t>
  </si>
  <si>
    <t>FORENSIC SCIENCE INTERNATIONAL</t>
  </si>
  <si>
    <t>FORSCHUNG IM INGENIEURWESEN-ENGINEERING RESEARCH</t>
  </si>
  <si>
    <t>FORTSCHRITTE DER NEUROLOGIE PSYCHIATRIE</t>
  </si>
  <si>
    <t>FRACTALS-COMPLEX GEOMETRY PATTERNS AND SCALING IN NATURE AND SOCIETY</t>
  </si>
  <si>
    <t>FREE RADICAL BIOLOGY AND MEDICINE</t>
  </si>
  <si>
    <t>FREE RADICAL RESEARCH</t>
  </si>
  <si>
    <t>FRONTIERS IN NEUROENDOCRINOLOGY</t>
  </si>
  <si>
    <t>FUNDAMENTAL &amp; CLINICAL PHARMACOLOGY</t>
  </si>
  <si>
    <t>FUNGAL DIVERSITY</t>
  </si>
  <si>
    <t>FUNGAL GENETICS AND BIOLOGY</t>
  </si>
  <si>
    <t>FUZZY SETS AND SYSTEMS</t>
  </si>
  <si>
    <t>GAIT &amp; POSTURE</t>
  </si>
  <si>
    <t>GASTROENTEROLOGY CLINICS OF NORTH AMERICA</t>
  </si>
  <si>
    <t>GASTROINTESTINAL ENDOSCOPY</t>
  </si>
  <si>
    <t>GEBURTSHILFE UND FRAUENHEILKUNDE</t>
  </si>
  <si>
    <t>GEMATOLOGIYA I TRANSFUZIOLOGIYA</t>
  </si>
  <si>
    <t>GENERAL AND COMPARATIVE ENDOCRINOLOGY</t>
  </si>
  <si>
    <t>GENERAL HOSPITAL PSYCHIATRY</t>
  </si>
  <si>
    <t>GENERAL PHYSIOLOGY AND BIOPHYSICS</t>
  </si>
  <si>
    <t>GENES CHROMOSOMES &amp; CANCER</t>
  </si>
  <si>
    <t>GENES &amp; DEVELOPMENT</t>
  </si>
  <si>
    <t>GENE EXPRESSION PATTERNS</t>
  </si>
  <si>
    <t>GENE THERAPY</t>
  </si>
  <si>
    <t>GENES BRAIN AND BEHAVIOR</t>
  </si>
  <si>
    <t>GENES TO CELLS</t>
  </si>
  <si>
    <t>GENES &amp; GENETIC SYSTEMS</t>
  </si>
  <si>
    <t>GENES AND IMMUNITY</t>
  </si>
  <si>
    <t>GENETIC EPIDEMIOLOGY</t>
  </si>
  <si>
    <t>GENETICS IN MEDICINE</t>
  </si>
  <si>
    <t>GENETICS AND MOLECULAR BIOLOGY</t>
  </si>
  <si>
    <t>GENETICS SELECTION EVOLUTION</t>
  </si>
  <si>
    <t>GENOME BIOLOGY</t>
  </si>
  <si>
    <t>GENOME RESEARCH</t>
  </si>
  <si>
    <t>GERIATRIC NURSING</t>
  </si>
  <si>
    <t>GLYCOCONJUGATE JOURNAL</t>
  </si>
  <si>
    <t>GRAEFES ARCHIVE FOR CLINICAL AND EXPERIMENTAL OPHTHALMOLOGY</t>
  </si>
  <si>
    <t>GREEN CHEMISTRY</t>
  </si>
  <si>
    <t>GROWTH HORMONE &amp; IGF RESEARCH</t>
  </si>
  <si>
    <t>GYNECOLOGICAL ENDOCRINOLOGY</t>
  </si>
  <si>
    <t>GYNECOLOGIC AND OBSTETRIC INVESTIGATION</t>
  </si>
  <si>
    <t>GYNECOLOGIC ONCOLOGY</t>
  </si>
  <si>
    <t>HAND CLINICS</t>
  </si>
  <si>
    <t>HASTINGS CENTER REPORT</t>
  </si>
  <si>
    <t>HEAD AND NECK-JOURNAL FOR THE SCIENCES AND SPECIALTIES OF THE HEAD AND NECK</t>
  </si>
  <si>
    <t>HEALTH AFFAIRS</t>
  </si>
  <si>
    <t>HEALTH ECONOMICS</t>
  </si>
  <si>
    <t>HEALTH EXPECTATIONS</t>
  </si>
  <si>
    <t>HEALTH PHYSICS</t>
  </si>
  <si>
    <t>HEALTH POLICY AND PLANNING</t>
  </si>
  <si>
    <t>HEALTH PSYCHOLOGY</t>
  </si>
  <si>
    <t>HEALTH SERVICES RESEARCH</t>
  </si>
  <si>
    <t>HEALTH TECHNOLOGY ASSESSMENT</t>
  </si>
  <si>
    <t>HEARING RESEARCH</t>
  </si>
  <si>
    <t>HEART FAILURE REVIEWS</t>
  </si>
  <si>
    <t>HEART &amp; LUNG</t>
  </si>
  <si>
    <t>HEART SURGERY FORUM</t>
  </si>
  <si>
    <t>HEART AND VESSELS</t>
  </si>
  <si>
    <t>HEAT TRANSFER ENGINEERING</t>
  </si>
  <si>
    <t>HELVETICA CHIMICA ACTA</t>
  </si>
  <si>
    <t>HEMATOLOGICAL ONCOLOGY</t>
  </si>
  <si>
    <t>HEMATOLOGY-ONCOLOGY CLINICS OF NORTH AMERICA</t>
  </si>
  <si>
    <t>HEPATOLOGY RESEARCH</t>
  </si>
  <si>
    <t>HERALD OF THE RUSSIAN ACADEMY OF SCIENCES</t>
  </si>
  <si>
    <t>HETEROATOM CHEMISTRY</t>
  </si>
  <si>
    <t>HETEROCYCLIC COMMUNICATIONS</t>
  </si>
  <si>
    <t>HIGH ALTITUDE MEDICINE &amp; BIOLOGY</t>
  </si>
  <si>
    <t>HISTORY OF THE HUMAN SCIENCES</t>
  </si>
  <si>
    <t>HISTORIA MATHEMATICA</t>
  </si>
  <si>
    <t>HISTORY AND PHILOSOPHY OF THE LIFE SCIENCES</t>
  </si>
  <si>
    <t>HISTORY AND PHILOSOPHY OF LOGIC</t>
  </si>
  <si>
    <t>HISTORY OF SCIENCE</t>
  </si>
  <si>
    <t>HISTOCHEMISTRY AND CELL BIOLOGY</t>
  </si>
  <si>
    <t>HISTOLOGY AND HISTOPATHOLOGY</t>
  </si>
  <si>
    <t>HIV MEDICINE</t>
  </si>
  <si>
    <t>HORMONES AND BEHAVIOR</t>
  </si>
  <si>
    <t>HORMONE AND METABOLIC RESEARCH</t>
  </si>
  <si>
    <t>HUMAN BRAIN MAPPING</t>
  </si>
  <si>
    <t>HUMAN &amp; EXPERIMENTAL TOXICOLOGY</t>
  </si>
  <si>
    <t>HUMAN FACTORS</t>
  </si>
  <si>
    <t>HUMAN GENE THERAPY</t>
  </si>
  <si>
    <t>HUMAN GENETICS</t>
  </si>
  <si>
    <t>HUMAN HEREDITY</t>
  </si>
  <si>
    <t>HUMAN IMMUNOLOGY</t>
  </si>
  <si>
    <t>HUMAN MOLECULAR GENETICS</t>
  </si>
  <si>
    <t>HUMAN MOVEMENT SCIENCE</t>
  </si>
  <si>
    <t>HUMAN MUTATION</t>
  </si>
  <si>
    <t>HUMAN PATHOLOGY</t>
  </si>
  <si>
    <t>HUMAN PSYCHOPHARMACOLOGY-CLINICAL AND EXPERIMENTAL</t>
  </si>
  <si>
    <t>HUMAN REPRODUCTION</t>
  </si>
  <si>
    <t>HUMAN REPRODUCTION UPDATE</t>
  </si>
  <si>
    <t>HYPERTENSION IN PREGNANCY</t>
  </si>
  <si>
    <t>HYPERTENSION RESEARCH</t>
  </si>
  <si>
    <t>IBM JOURNAL OF RESEARCH AND DEVELOPMENT</t>
  </si>
  <si>
    <t>IEEE-ACM Transactions on Computational Biology and Bioinformatics</t>
  </si>
  <si>
    <t>IEEE ANNALS OF THE HISTORY OF COMPUTING</t>
  </si>
  <si>
    <t>IEEE JOURNAL OF SELECTED TOPICS IN QUANTUM ELECTRONICS</t>
  </si>
  <si>
    <t>IEEE PHOTONICS TECHNOLOGY LETTERS</t>
  </si>
  <si>
    <t>IEEE TRANSACTIONS ON BIOMEDICAL ENGINEERING</t>
  </si>
  <si>
    <t>IEEE TRANSACTIONS ON EDUCATION</t>
  </si>
  <si>
    <t>IEEE TRANSACTIONS ON MEDICAL IMAGING</t>
  </si>
  <si>
    <t>IEEE TRANSACTIONS ON NANOBIOSCIENCE</t>
  </si>
  <si>
    <t>IEEE TRANSACTIONS ON NEURAL SYSTEMS AND REHABILITATION ENGINEERING</t>
  </si>
  <si>
    <t>IEEE TRANSACTIONS ON ULTRASONICS FERROELECTRICS AND FREQUENCY CONTROL</t>
  </si>
  <si>
    <t>IEEE-ASME TRANSACTIONS ON MECHATRONICS</t>
  </si>
  <si>
    <t>IMAGE AND VISION COMPUTING</t>
  </si>
  <si>
    <t>IMMUNOLOGY AND ALLERGY CLINICS OF NORTH AMERICA</t>
  </si>
  <si>
    <t>IMMUNOLOGY AND CELL BIOLOGY</t>
  </si>
  <si>
    <t>IMMUNOLOGICAL INVESTIGATIONS</t>
  </si>
  <si>
    <t>IMMUNOLOGY LETTERS</t>
  </si>
  <si>
    <t>IMMUNOLOGIC RESEARCH</t>
  </si>
  <si>
    <t>IMMUNOLOGICAL REVIEWS</t>
  </si>
  <si>
    <t>IMMUNOPHARMACOLOGY AND IMMUNOTOXICOLOGY</t>
  </si>
  <si>
    <t>IN VITRO CELLULAR &amp; DEVELOPMENTAL BIOLOGY-ANIMAL</t>
  </si>
  <si>
    <t>IN VITRO CELLULAR &amp; DEVELOPMENTAL BIOLOGY-PLANT</t>
  </si>
  <si>
    <t>INDUSTRIAL HEALTH</t>
  </si>
  <si>
    <t>INDUSTRIAL LUBRICATION AND TRIBOLOGY</t>
  </si>
  <si>
    <t>INDIAN JOURNAL OF BIOCHEMISTRY &amp; BIOPHYSICS</t>
  </si>
  <si>
    <t>INDIAN JOURNAL OF HETEROCYCLIC CHEMISTRY</t>
  </si>
  <si>
    <t>INDIAN JOURNAL OF MEDICAL RESEARCH</t>
  </si>
  <si>
    <t>INDOOR AND BUILT ENVIRONMENT</t>
  </si>
  <si>
    <t>INFECTION CONTROL AND HOSPITAL EPIDEMIOLOGY</t>
  </si>
  <si>
    <t>INFECTIOUS DISEASE CLINICS OF NORTH AMERICA</t>
  </si>
  <si>
    <t>INFECTION AND IMMUNITY</t>
  </si>
  <si>
    <t>INFINITE DIMENSIONAL ANALYSIS QUANTUM PROBABILITY AND RELATED TOPICS</t>
  </si>
  <si>
    <t>INFLAMMATORY BOWEL DISEASES</t>
  </si>
  <si>
    <t>INFLAMMATION RESEARCH</t>
  </si>
  <si>
    <t>INFRARED PHYSICS &amp; TECHNOLOGY</t>
  </si>
  <si>
    <t>INHALATION TOXICOLOGY</t>
  </si>
  <si>
    <t>INJURY-INTERNATIONAL JOURNAL OF THE CARE OF THE INJURED</t>
  </si>
  <si>
    <t>INJURY PREVENTION</t>
  </si>
  <si>
    <t>INQUIRY-THE JOURNAL OF HEALTH CARE ORGANIZATION PROVISION AND FINANCING</t>
  </si>
  <si>
    <t>INSECT BIOCHEMISTRY AND MOLECULAR BIOLOGY</t>
  </si>
  <si>
    <t>INSECT MOLECULAR BIOLOGY</t>
  </si>
  <si>
    <t>INSTRUMENTATION SCIENCE &amp; TECHNOLOGY</t>
  </si>
  <si>
    <t>INSURANCE MATHEMATICS &amp; ECONOMICS</t>
  </si>
  <si>
    <t>INTERNATIONAL ANGIOLOGY</t>
  </si>
  <si>
    <t>INTERNATIONAL ARCHIVES OF ALLERGY AND IMMUNOLOGY</t>
  </si>
  <si>
    <t>INTERNATIONAL ARCHIVES OF OCCUPATIONAL AND ENVIRONMENTAL HEALTH</t>
  </si>
  <si>
    <t>INTERNATIONAL BIODETERIORATION &amp; BIODEGRADATION</t>
  </si>
  <si>
    <t>INTERNATIONAL CLINICAL PSYCHOPHARMACOLOGY</t>
  </si>
  <si>
    <t>INTERNATIONAL DENTAL JOURNAL</t>
  </si>
  <si>
    <t>INTERNATIONAL ENDODONTIC JOURNAL</t>
  </si>
  <si>
    <t>International Heart Journal</t>
  </si>
  <si>
    <t>INTERNATIONAL IMMUNOLOGY</t>
  </si>
  <si>
    <t>INTERNATIONAL IMMUNOPHARMACOLOGY</t>
  </si>
  <si>
    <t>INTERNATIONAL JOURNAL OF ANTIMICROBIAL AGENTS</t>
  </si>
  <si>
    <t>INTERNATIONAL JOURNAL OF ARTIFICIAL ORGANS</t>
  </si>
  <si>
    <t>INTERNATIONAL JOURNAL OF AUDIOLOGY</t>
  </si>
  <si>
    <t>INTERNATIONAL JOURNAL OF AUTOMOTIVE TECHNOLOGY</t>
  </si>
  <si>
    <t>INTERNATIONAL JOURNAL OF BIFURCATION AND CHAOS</t>
  </si>
  <si>
    <t>INTERNATIONAL JOURNAL OF BIOCHEMISTRY &amp; CELL BIOLOGY</t>
  </si>
  <si>
    <t>INTERNATIONAL JOURNAL OF BIOLOGICAL MACROMOLECULES</t>
  </si>
  <si>
    <t>INTERNATIONAL JOURNAL OF BIOLOGICAL MARKERS</t>
  </si>
  <si>
    <t>INTERNATIONAL JOURNAL OF BIOMETEOROLOGY</t>
  </si>
  <si>
    <t>INTERNATIONAL JOURNAL OF CANCER</t>
  </si>
  <si>
    <t>INTERNATIONAL JOURNAL OF CARDIOLOGY</t>
  </si>
  <si>
    <t>INTERNATIONAL JOURNAL OF CARDIOVASCULAR IMAGING</t>
  </si>
  <si>
    <t>INTERNATIONAL JOURNAL OF CLINICAL PHARMACOLOGY AND THERAPEUTICS</t>
  </si>
  <si>
    <t>INTERNATIONAL JOURNAL OF CLINICAL PRACTICE</t>
  </si>
  <si>
    <t>INTERNATIONAL JOURNAL OF COLORECTAL DISEASE</t>
  </si>
  <si>
    <t>INTERNATIONAL JOURNAL OF CRASHWORTHINESS</t>
  </si>
  <si>
    <t>INTERNATIONAL JOURNAL OF DERMATOLOGY</t>
  </si>
  <si>
    <t>INTERNATIONAL JOURNAL OF DEVELOPMENTAL BIOLOGY</t>
  </si>
  <si>
    <t>INTERNATIONAL JOURNAL OF DEVELOPMENTAL NEUROSCIENCE</t>
  </si>
  <si>
    <t>INTERNATIONAL JOURNAL OF EATING DISORDERS</t>
  </si>
  <si>
    <t>INTERNATIONAL JOURNAL OF ELECTRICAL ENGINEERING EDUCATION</t>
  </si>
  <si>
    <t>INTERNATIONAL JOURNAL OF ENVIRONMENTAL ANALYTICAL CHEMISTRY</t>
  </si>
  <si>
    <t>INTERNATIONAL JOURNAL OF ENVIRONMENTAL HEALTH RESEARCH</t>
  </si>
  <si>
    <t>INTERNATIONAL JOURNAL OF EPIDEMIOLOGY</t>
  </si>
  <si>
    <t>INTERNATIONAL JOURNAL OF EXPERIMENTAL PATHOLOGY</t>
  </si>
  <si>
    <t>INTERNATIONAL JOURNAL OF FATIGUE</t>
  </si>
  <si>
    <t>INTERNATIONAL JOURNAL OF FOOD MICROBIOLOGY</t>
  </si>
  <si>
    <t>INTERNATIONAL JOURNAL OF FOOD SCIENCES AND NUTRITION</t>
  </si>
  <si>
    <t>INTERNATIONAL JOURNAL OF GAME THEORY</t>
  </si>
  <si>
    <t>INTERNATIONAL JOURNAL OF GERIATRIC PSYCHIATRY</t>
  </si>
  <si>
    <t>INTERNATIONAL JOURNAL OF GYNECOLOGICAL CANCER</t>
  </si>
  <si>
    <t>INTERNATIONAL JOURNAL OF GYNECOLOGY &amp; OBSTETRICS</t>
  </si>
  <si>
    <t>INTERNATIONAL JOURNAL OF GYNECOLOGICAL PATHOLOGY</t>
  </si>
  <si>
    <t>INTERNATIONAL JOURNAL OF HEALTH SERVICES</t>
  </si>
  <si>
    <t>INTERNATIONAL JOURNAL OF HEAT AND FLUID FLOW</t>
  </si>
  <si>
    <t>INTERNATIONAL JOURNAL OF HEAT AND MASS TRANSFER</t>
  </si>
  <si>
    <t>International Journal of Heavy Vehicle Systems</t>
  </si>
  <si>
    <t>INTERNATIONAL JOURNAL OF HEMATOLOGY</t>
  </si>
  <si>
    <t>INTERNATIONAL JOURNAL OF HYGIENE AND ENVIRONMENTAL HEALTH</t>
  </si>
  <si>
    <t>INTERNATIONAL JOURNAL OF HYPERTHERMIA</t>
  </si>
  <si>
    <t>INTERNATIONAL JOURNAL OF IMAGING SYSTEMS AND TECHNOLOGY</t>
  </si>
  <si>
    <t>International Journal of Immunogenetics</t>
  </si>
  <si>
    <t>INTERNATIONAL JOURNAL OF IMMUNOPATHOLOGY AND PHARMACOLOGY</t>
  </si>
  <si>
    <t>INTERNATIONAL JOURNAL OF IMPACT ENGINEERING</t>
  </si>
  <si>
    <t>INTERNATIONAL JOURNAL OF IMPOTENCE RESEARCH</t>
  </si>
  <si>
    <t>INTERNATIONAL JOURNAL OF INFECTIOUS DISEASES</t>
  </si>
  <si>
    <t>INTERNATIONAL JOURNAL OF LEGAL MEDICINE</t>
  </si>
  <si>
    <t>INTERNATIONAL JOURNAL OF MACHINE TOOLS &amp; MANUFACTURE</t>
  </si>
  <si>
    <t>INTERNATIONAL JOURNAL OF MECHANICAL SCIENCES</t>
  </si>
  <si>
    <t>INTERNATIONAL JOURNAL OF MEDICAL INFORMATICS</t>
  </si>
  <si>
    <t>INTERNATIONAL JOURNAL OF MEDICAL MICROBIOLOGY</t>
  </si>
  <si>
    <t>International Journal of Medical Robotics and Computer Assisted Surgery</t>
  </si>
  <si>
    <t>INTERNATIONAL JOURNAL OF MOLECULAR MEDICINE</t>
  </si>
  <si>
    <t>INTERNATIONAL JOURNAL OF MOLECULAR SCIENCES</t>
  </si>
  <si>
    <t>INTERNATIONAL JOURNAL OF NEUROPSYCHOPHARMACOLOGY</t>
  </si>
  <si>
    <t>INTERNATIONAL JOURNAL OF NEUROSCIENCE</t>
  </si>
  <si>
    <t>INTERNATIONAL JOURNAL OF NURSING STUDIES</t>
  </si>
  <si>
    <t>INTERNATIONAL JOURNAL OF OBESITY</t>
  </si>
  <si>
    <t>INTERNATIONAL JOURNAL OF OBSTETRIC ANESTHESIA</t>
  </si>
  <si>
    <t>Vollständiger Titel</t>
  </si>
  <si>
    <t>AAPS Journal</t>
  </si>
  <si>
    <t>ACADEMIC EMERGENCY MEDICINE</t>
  </si>
  <si>
    <t>ACADEMIC MEDICINE</t>
  </si>
  <si>
    <t>ACADEMIC RADIOLOGY</t>
  </si>
  <si>
    <t>ACCOUNTS OF CHEMICAL RESEARCH</t>
  </si>
  <si>
    <t>ACCREDITATION AND QUALITY ASSURANCE</t>
  </si>
  <si>
    <t>ACOUSTICAL PHYSICS</t>
  </si>
  <si>
    <t>ACS Chemical Biology</t>
  </si>
  <si>
    <t>ACSMS HEALTH &amp; FITNESS JOURNAL</t>
  </si>
  <si>
    <t>ACTA ACUSTICA UNITED WITH ACUSTICA</t>
  </si>
  <si>
    <t>ACTA ALIMENTARIA</t>
  </si>
  <si>
    <t>ACTA ANAESTHESIOLOGICA SCANDINAVICA</t>
  </si>
  <si>
    <t>ACTA BIOCHIMICA ET BIOPHYSICA SINICA</t>
  </si>
  <si>
    <t>ACTA BIOCHIMICA POLONICA</t>
  </si>
  <si>
    <t>ACTA BIOTHEORETICA</t>
  </si>
  <si>
    <t>ACTA CARDIOLOGICA</t>
  </si>
  <si>
    <t>ACTA CHIMICA SINICA</t>
  </si>
  <si>
    <t>ACTA CHIMICA SLOVENICA</t>
  </si>
  <si>
    <t>ACTA CHIRURGICA BELGICA</t>
  </si>
  <si>
    <t>ACTA CHROMATOGRAPHICA</t>
  </si>
  <si>
    <t>ACTA CLINICA BELGICA</t>
  </si>
  <si>
    <t>ACTA CYTOLOGICA</t>
  </si>
  <si>
    <t>ACTA DERMATO-VENEREOLOGICA</t>
  </si>
  <si>
    <t>ACTA DIABETOLOGICA</t>
  </si>
  <si>
    <t>ACTA GASTRO-ENTEROLOGICA BELGICA</t>
  </si>
  <si>
    <t>ACTA HAEMATOLOGICA</t>
  </si>
  <si>
    <t>ACTA HISTOCHEMICA</t>
  </si>
  <si>
    <t>ACTA HISTOCHEMICA ET CYTOCHEMICA</t>
  </si>
  <si>
    <t>ACTA MECHANICA SINICA</t>
  </si>
  <si>
    <t>ACTA MEDICA OKAYAMA</t>
  </si>
  <si>
    <t>ACTA NEUROBIOLOGIAE EXPERIMENTALIS</t>
  </si>
  <si>
    <t>ACTA NEUROCHIRURGICA</t>
  </si>
  <si>
    <t>ACTA NEUROLOGICA BELGICA</t>
  </si>
  <si>
    <t>ACTA NEUROLOGICA SCANDINAVICA</t>
  </si>
  <si>
    <t>ACTA NEUROPATHOLOGICA</t>
  </si>
  <si>
    <t>ACTA NEUROPSYCHIATRICA</t>
  </si>
  <si>
    <t>ACTA OBSTETRICIA ET GYNECOLOGICA SCANDINAVICA</t>
  </si>
  <si>
    <t>ACTA ODONTOLOGICA SCANDINAVICA</t>
  </si>
  <si>
    <t>ACTA ONCOLOGICA</t>
  </si>
  <si>
    <t>Acta Orthopaedica</t>
  </si>
  <si>
    <t>ACTA OTO-LARYNGOLOGICA</t>
  </si>
  <si>
    <t>ACTA PAEDIATRICA</t>
  </si>
  <si>
    <t>ACTA PARASITOLOGICA</t>
  </si>
  <si>
    <t>ACTA PHARMACOLOGICA SINICA</t>
  </si>
  <si>
    <t>Acta Physiologica</t>
  </si>
  <si>
    <t>ACTA PROTOZOOLOGICA</t>
  </si>
  <si>
    <t>ACTA PSYCHIATRICA SCANDINAVICA</t>
  </si>
  <si>
    <t>ACTA RADIOLOGICA</t>
  </si>
  <si>
    <t>ACTA TROPICA</t>
  </si>
  <si>
    <t>ACTA VETERINARIA BRNO</t>
  </si>
  <si>
    <t>ACTA VETERINARIA HUNGARICA</t>
  </si>
  <si>
    <t>ACTA VETERINARIA SCANDINAVICA</t>
  </si>
  <si>
    <t>INTERNATIONAL JOURNAL OF UROLOGY</t>
  </si>
  <si>
    <t>INTERNATIONAL JOURNAL OF VEHICLE DESIGN</t>
  </si>
  <si>
    <t>INTERNATIONAL JOURNAL FOR VITAMIN AND NUTRITION RESEARCH</t>
  </si>
  <si>
    <t>INTERNATIONAL MICROBIOLOGY</t>
  </si>
  <si>
    <t>INTERNATIONAL ORTHOPAEDICS</t>
  </si>
  <si>
    <t>INTERNATIONAL PSYCHOGERIATRICS</t>
  </si>
  <si>
    <t>INTERNATIONAL REVIEWS OF IMMUNOLOGY</t>
  </si>
  <si>
    <t>INTERNATIONAL STATISTICAL REVIEW</t>
  </si>
  <si>
    <t>INTERNATIONAL UROGYNECOLOGY JOURNAL</t>
  </si>
  <si>
    <t>INTERNATIONAL UROLOGY AND NEPHROLOGY</t>
  </si>
  <si>
    <t>INTENSIVE CARE MEDICINE</t>
  </si>
  <si>
    <t>INTERDISCIPLINARY SCIENCE REVIEWS</t>
  </si>
  <si>
    <t>INTERNAL MEDICINE JOURNAL</t>
  </si>
  <si>
    <t>INTERNAL MEDICINE</t>
  </si>
  <si>
    <t>INTERVENTIONAL NEURORADIOLOGY</t>
  </si>
  <si>
    <t>INVERTEBRATE REPRODUCTION &amp; DEVELOPMENT</t>
  </si>
  <si>
    <t>INVESTIGATIONAL NEW DRUGS</t>
  </si>
  <si>
    <t>INVESTIGATIVE OPHTHALMOLOGY &amp; VISUAL SCIENCE</t>
  </si>
  <si>
    <t>INVESTIGATIVE RADIOLOGY</t>
  </si>
  <si>
    <t>IRISH JOURNAL OF MEDICAL SCIENCE</t>
  </si>
  <si>
    <t>IRISH VETERINARY JOURNAL</t>
  </si>
  <si>
    <t>ISOKINETICS AND EXERCISE SCIENCE</t>
  </si>
  <si>
    <t>ISRAEL JOURNAL OF CHEMISTRY</t>
  </si>
  <si>
    <t>ISRAEL MEDICAL ASSOCIATION JOURNAL</t>
  </si>
  <si>
    <t>ISSUES IN SCIENCE AND TECHNOLOGY</t>
  </si>
  <si>
    <t>JOURNAL OF AAPOS</t>
  </si>
  <si>
    <t>JOURNAL OF THE ACOUSTICAL SOCIETY OF AMERICA</t>
  </si>
  <si>
    <t>JOURNAL OF ADHESIVE DENTISTRY</t>
  </si>
  <si>
    <t>JOURNAL OF ADOLESCENT HEALTH</t>
  </si>
  <si>
    <t>JOURNAL OF ADVANCED NURSING</t>
  </si>
  <si>
    <t>JOURNAL OF AEROSOL SCIENCE</t>
  </si>
  <si>
    <t>JOURNAL OF AFFECTIVE DISORDERS</t>
  </si>
  <si>
    <t>JOURNAL OF AGING AND PHYSICAL ACTIVITY</t>
  </si>
  <si>
    <t>JOURNAL OF AGRICULTURAL BIOLOGICAL AND ENVIRONMENTAL STATISTICS</t>
  </si>
  <si>
    <t>JOURNAL OF AGRICULTURAL &amp; ENVIRONMENTAL ETHICS</t>
  </si>
  <si>
    <t>JOURNAL OF ALLERGY AND CLINICAL IMMUNOLOGY</t>
  </si>
  <si>
    <t>JOURNAL OF ALTERNATIVE AND COMPLEMENTARY MEDICINE</t>
  </si>
  <si>
    <t>JOURNAL OF ALZHEIMERS DISEASE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</si>
  <si>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</si>
  <si>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</si>
  <si>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</si>
  <si>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ANIMAL HOSPITAL ASSOCIATION</t>
  </si>
  <si>
    <t>Journal of the American Association for Laboratory Animal Science</t>
  </si>
  <si>
    <t>Journal of the American Board of Family Medicine</t>
  </si>
  <si>
    <t>JOURNAL OF THE AMERICAN CHEMICAL SOCIETY</t>
  </si>
  <si>
    <t>JOURNAL OF THE AMERICAN COLLEGE OF CARDIOLOGY</t>
  </si>
  <si>
    <t>JOURNAL OF THE AMERICAN COLLEGE OF NUTRITION</t>
  </si>
  <si>
    <t>JOURNAL OF THE AMERICAN COLLEGE OF SURGEONS</t>
  </si>
  <si>
    <t>JOURNAL OF THE AMERICAN DENTAL ASSOCIATION</t>
  </si>
  <si>
    <t>JOURNAL OF THE AMERICAN GERIATRICS SOCIETY</t>
  </si>
  <si>
    <t>JOURNAL OF THE AMERICAN MEDICAL INFORMATICS ASSOCIATION</t>
  </si>
  <si>
    <t>JOURNAL OF THE AMERICAN PODIATRIC MEDICAL ASSOCIATION</t>
  </si>
  <si>
    <t>JOURNAL OF THE AMERICAN SOCIETY OF BREWING CHEMISTS</t>
  </si>
  <si>
    <t>JOURNAL OF THE AMERICAN SOCIETY OF ECHOCARDIOGRAPHY</t>
  </si>
  <si>
    <t>JOURNAL OF THE AMERICAN SOCIETY FOR MASS SPECTROMETRY</t>
  </si>
  <si>
    <t>JOURNAL OF THE AMERICAN SOCIETY OF NEPHROLOGY</t>
  </si>
  <si>
    <t>JOURNAL OF THE AMERICAN STATISTICAL ASSOCIATION</t>
  </si>
  <si>
    <t>JOURNAL OF ANALYTICAL AND APPLIED PYROLYSIS</t>
  </si>
  <si>
    <t>JOURNAL OF ANALYTICAL ATOMIC SPECTROMETRY</t>
  </si>
  <si>
    <t>JOURNAL OF ANALYTICAL CHEMISTRY</t>
  </si>
  <si>
    <t>JOURNAL OF ANALYTICAL TOXICOLOGY</t>
  </si>
  <si>
    <t>JOURNAL OF ANATOMY</t>
  </si>
  <si>
    <t>JOURNAL OF ANIMAL PHYSIOLOGY AND ANIMAL NUTRITION</t>
  </si>
  <si>
    <t>JOURNAL OF ANTIBIOTICS</t>
  </si>
  <si>
    <t>JOURNAL OF ANTIMICROBIAL CHEMOTHERAPY</t>
  </si>
  <si>
    <t>JOURNAL OF AOAC INTERNATIONAL</t>
  </si>
  <si>
    <t>AMERICAN JOURNAL OF MEDICAL QUALITY</t>
  </si>
  <si>
    <t>AMERICAN JOURNAL OF THE MEDICAL SCIENCES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</si>
  <si>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</si>
  <si>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</si>
  <si>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</si>
  <si>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</si>
  <si>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OPHTHALMOLOGY</t>
  </si>
  <si>
    <t>AMERICAN JOURNAL OF ORTHODONTICS AND DENTOFACIAL ORTHOPEDICS</t>
  </si>
  <si>
    <t>AMERICAN JOURNAL OF ORTHOPSYCHIATRY</t>
  </si>
  <si>
    <t>AMERICAN JOURNAL OF OTOLARYNGOLOGY</t>
  </si>
  <si>
    <t>AMERICAN JOURNAL OF PATHOLOGY</t>
  </si>
  <si>
    <t>AMERICAN JOURNAL OF PERINATOLOGY</t>
  </si>
  <si>
    <t>AMERICAN JOURNAL OF PHARMACEUTICAL EDUCATION</t>
  </si>
  <si>
    <t>AMERICAN JOURNAL OF PHYSICS</t>
  </si>
  <si>
    <t>AMERICAN JOURNAL OF PHYSICAL MEDICINE &amp; REHABILITATION</t>
  </si>
  <si>
    <t>AMERICAN JOURNAL OF PHYSIOLOGY-CELL PHYSIOLOGY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</si>
  <si>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</si>
  <si>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</si>
  <si>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</si>
  <si>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</si>
  <si>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PHYSIOLOGY-RENAL PHYSIOLOGY</t>
  </si>
  <si>
    <t>AMERICAN JOURNAL OF PREVENTIVE MEDICINE</t>
  </si>
  <si>
    <t>AMERICAN JOURNAL OF PSYCHIATRY</t>
  </si>
  <si>
    <t>AMERICAN JOURNAL OF PUBLIC HEALTH</t>
  </si>
  <si>
    <t>AMERICAN JOURNAL OF REPRODUCTIVE IMMUNOLOGY</t>
  </si>
  <si>
    <t>AMERICAN JOURNAL OF RESPIRATORY CELL AND MOLECULAR BIOLOGY</t>
  </si>
  <si>
    <t>AMERICAN JOURNAL OF RESPIRATORY AND CRITICAL CARE MEDICINE</t>
  </si>
  <si>
    <t>AMERICAN JOURNAL OF ROENTGENOLOGY</t>
  </si>
  <si>
    <t>AMERICAN JOURNAL OF SPORTS MEDICINE</t>
  </si>
  <si>
    <t>AMERICAN JOURNAL OF SURGERY</t>
  </si>
  <si>
    <t>AMERICAN JOURNAL OF SURGICAL PATHOLOGY</t>
  </si>
  <si>
    <t>AMERICAN JOURNAL OF TRANSPLANTATION</t>
  </si>
  <si>
    <t>AMERICAN JOURNAL OF TROPICAL MEDICINE AND HYGIENE</t>
  </si>
  <si>
    <t>AMERICAN JOURNAL OF VETERINARY RESEARCH</t>
  </si>
  <si>
    <t>AMERICAN SCIENTIST</t>
  </si>
  <si>
    <t>AMERICAN STATISTICIAN</t>
  </si>
  <si>
    <t>AMERICAN SURGEON</t>
  </si>
  <si>
    <t>AMYLOID-JOURNAL OF PROTEIN FOLDING DISORDERS</t>
  </si>
  <si>
    <t>ANAIS DA ACADEMIA BRASILEIRA DE CIENCIAS</t>
  </si>
  <si>
    <t>ANAESTHESIA AND INTENSIVE CARE</t>
  </si>
  <si>
    <t>ANALYTICAL AND BIOANALYTICAL CHEMISTRY</t>
  </si>
  <si>
    <t>ANALYTICAL BIOCHEMISTRY</t>
  </si>
  <si>
    <t>ANALYTICAL CHEMISTRY</t>
  </si>
  <si>
    <t>ANALYTICA CHIMICA ACTA</t>
  </si>
  <si>
    <t>ANALYTICAL LETTERS</t>
  </si>
  <si>
    <t>ANALYTICAL SCIENCES</t>
  </si>
  <si>
    <t>ANASTHESIOLOGIE INTENSIVMEDIZIN NOTFALLMEDIZIN SCHMERZTHERAPIE</t>
  </si>
  <si>
    <t>ANASTHESIOLOGIE &amp; INTENSIVMEDIZIN</t>
  </si>
  <si>
    <t>ANESTHESIA AND ANALGESIA</t>
  </si>
  <si>
    <t>ANGEWANDTE CHEMIE-INTERNATIONAL EDITION</t>
  </si>
  <si>
    <t>ANGLE ORTHODONTIST</t>
  </si>
  <si>
    <t>ANIMAL BIOTECHNOLOGY</t>
  </si>
  <si>
    <t>ANIMAL GENETICS</t>
  </si>
  <si>
    <t>ANIMAL REPRODUCTION SCIENCE</t>
  </si>
  <si>
    <t>ANIMAL WELFARE</t>
  </si>
  <si>
    <t>ANNALS ACADEMY OF MEDICINE SINGAPORE</t>
  </si>
  <si>
    <t>ANNALS OF AGRICULTURAL AND ENVIRONMENTAL MEDICINE</t>
  </si>
  <si>
    <t>ANNALS OF ALLERGY ASTHMA &amp; IMMUNOLOGY</t>
  </si>
  <si>
    <t>ANNALS OF ANATOMY-ANATOMISCHER ANZEIGER</t>
  </si>
  <si>
    <t>ANNALS OF APPLIED PROBABILITY</t>
  </si>
  <si>
    <t>ANNALES DE BIOLOGIE CLINIQUE</t>
  </si>
  <si>
    <t>ANNALS OF BIOMEDICAL ENGINEERING</t>
  </si>
  <si>
    <t>ANNALS OF CLINICAL BIOCHEMISTRY</t>
  </si>
  <si>
    <t>ANNALS OF CLINICAL AND LABORATORY SCIENCE</t>
  </si>
  <si>
    <t>ANNALES DE DERMATOLOGIE ET DE VENEREOLOGIE</t>
  </si>
  <si>
    <t>ANNALS OF EMERGENCY MEDICINE</t>
  </si>
  <si>
    <t>ANNALES D ENDOCRINOLOGIE</t>
  </si>
  <si>
    <t>ANNALS OF EPIDEMIOLOGY</t>
  </si>
  <si>
    <t>ANNALS OF FAMILY MEDICINE</t>
  </si>
  <si>
    <t>ANNALS OF HEMATOLOGY</t>
  </si>
  <si>
    <t>ANNALS OF HUMAN BIOLOGY</t>
  </si>
  <si>
    <t>ANNALS OF HUMAN GENETICS</t>
  </si>
  <si>
    <t>ANNALES DE L INSTITUT HENRI POINCARE-PROBABILITES ET STATISTIQUES</t>
  </si>
  <si>
    <t>ANNALS OF THE INSTITUTE OF STATISTICAL MATHEMATICS</t>
  </si>
  <si>
    <t>ANNALS OF INTERNAL MEDICINE</t>
  </si>
  <si>
    <t>ANNALS OF MEDICINE</t>
  </si>
  <si>
    <t>ANNALS OF MICROBIOLOGY</t>
  </si>
  <si>
    <t>ANNALS OF NEUROLOGY</t>
  </si>
  <si>
    <t>ANNALS OF NONINVASIVE ELECTROCARDIOLOGY</t>
  </si>
  <si>
    <t>ANNALS OF NUCLEAR MEDICINE</t>
  </si>
  <si>
    <t>ANNALS OF NUTRITION AND METABOLISM</t>
  </si>
  <si>
    <t>ANNALS OF THE NEW YORK ACADEMY OF SCIENCES</t>
  </si>
  <si>
    <t>ANNALS OF ONCOLOGY</t>
  </si>
  <si>
    <t>ANNALS OF OTOLOGY RHINOLOGY AND LARYNGOLOGY</t>
  </si>
  <si>
    <t>ANNALES DE PATHOLOGIE</t>
  </si>
  <si>
    <t>ANNALS OF PHARMACOTHERAPY</t>
  </si>
  <si>
    <t>ANNALS OF PLASTIC SURGERY</t>
  </si>
  <si>
    <t>ANNALS OF PROBABILITY</t>
  </si>
  <si>
    <t>ANNALS OF THE RHEUMATIC DISEASES</t>
  </si>
  <si>
    <t>ANNALS OF THE ROYAL COLLEGE OF SURGEONS OF ENGLAND</t>
  </si>
  <si>
    <t>ANNALS OF SAUDI MEDICINE</t>
  </si>
  <si>
    <t>ANNALS OF SCIENCE</t>
  </si>
  <si>
    <t>ANNALS OF STATISTICS</t>
  </si>
  <si>
    <t>ANNALS OF SURGERY</t>
  </si>
  <si>
    <t>ANNALS OF SURGICAL ONCOLOGY</t>
  </si>
  <si>
    <t>ANNALS OF THORACIC SURGERY</t>
  </si>
  <si>
    <t>ANNALS OF VASCULAR SURGERY</t>
  </si>
  <si>
    <t>ANTI-CANCER DRUGS</t>
  </si>
  <si>
    <t>ANTICANCER RESEARCH</t>
  </si>
  <si>
    <t>ANTIMICROBIAL AGENTS AND CHEMOTHERAPY</t>
  </si>
  <si>
    <t>ANTIOXIDANTS &amp; REDOX SIGNALING</t>
  </si>
  <si>
    <t>ANTIVIRAL RESEARCH</t>
  </si>
  <si>
    <t>ANZ JOURNAL OF SURGERY</t>
  </si>
  <si>
    <t>APPLIED ACOUSTICS</t>
  </si>
  <si>
    <t>APPLIED ANIMAL BEHAVIOUR SCIENCE</t>
  </si>
  <si>
    <t>APPLIED BIOCHEMISTRY AND BIOTECHNOLOGY</t>
  </si>
  <si>
    <t>APPLIED BIOCHEMISTRY AND MICROBIOLOGY</t>
  </si>
  <si>
    <t>APPLIED AND ENVIRONMENTAL MICROBIOLOGY</t>
  </si>
  <si>
    <t>APPLIED IMMUNOHISTOCHEMISTRY &amp; MOLECULAR MORPHOLOGY</t>
  </si>
  <si>
    <t>APPLIED MICROBIOLOGY AND BIOTECHNOLOGY</t>
  </si>
  <si>
    <t>APPLIED NURSING RESEARCH</t>
  </si>
  <si>
    <t>APPLIED OPTICS</t>
  </si>
  <si>
    <t>APPLIED PHYSICS B-LASERS AND OPTICS</t>
  </si>
  <si>
    <t>APPLIED RADIATION AND ISOTOPES</t>
  </si>
  <si>
    <t>APPLIED STOCHASTIC MODELS IN BUSINESS AND INDUSTRY</t>
  </si>
  <si>
    <t>APPLIED THERMAL ENGINEERING</t>
  </si>
  <si>
    <t>AQUATIC TOXICOLOGY</t>
  </si>
  <si>
    <t>ARABIAN JOURNAL FOR SCIENCE AND ENGINEERING</t>
  </si>
  <si>
    <t>ARCHIVES OF BIOCHEMISTRY AND BIOPHYSICS</t>
  </si>
  <si>
    <t>ARCHIVOS DE BRONCONEUMOLOGIA</t>
  </si>
  <si>
    <t>ARCHIVES OF CLINICAL NEUROPSYCHOLOGY</t>
  </si>
  <si>
    <t>ARCHIVES OF DERMATOLOGICAL RESEARCH</t>
  </si>
  <si>
    <t>ARCHIVES OF DISEASE IN CHILDHOOD</t>
  </si>
  <si>
    <t>Archives of Disease in Childhood-Fetal and Neonatal Edition</t>
  </si>
  <si>
    <t>ARCHIVES OF ENVIRONMENTAL CONTAMINATION AND TOXICOLOGY</t>
  </si>
  <si>
    <t>Archives of Environmental &amp; Occupational Health</t>
  </si>
  <si>
    <t>ARCHIVES OF GERONTOLOGY AND GERIATRICS</t>
  </si>
  <si>
    <t>ARCHIVE FOR HISTORY OF EXACT SCIENCES</t>
  </si>
  <si>
    <t>ARCHIVUM IMMUNOLOGIAE ET THERAPIAE EXPERIMENTALIS</t>
  </si>
  <si>
    <t>ARCHIVES OF INSECT BIOCHEMISTRY AND PHYSIOLOGY</t>
  </si>
  <si>
    <t>ARCHIVES ITALIENNES DE BIOLOGIE</t>
  </si>
  <si>
    <t>ARCHIVES OF MEDICAL RESEARCH</t>
  </si>
  <si>
    <t>ARCHIVES OF MICROBIOLOGY</t>
  </si>
  <si>
    <t>ARCHIVES OF ORAL BIOLOGY</t>
  </si>
  <si>
    <t>ARCHIVES OF ORTHOPAEDIC AND TRAUMA SURGERY</t>
  </si>
  <si>
    <t>ARCHIVES OF PATHOLOGY &amp; LABORATORY MEDICINE</t>
  </si>
  <si>
    <t>ARCHIVES DE PEDIATRIE</t>
  </si>
  <si>
    <t>ARCHIV DER PHARMAZIE</t>
  </si>
  <si>
    <t>ARCHIVES OF PHARMACAL RESEARCH</t>
  </si>
  <si>
    <t>ARCHIVES OF PHYSICAL MEDICINE AND REHABILITATION</t>
  </si>
  <si>
    <t>ARCHIVES OF PSYCHIATRIC NURSING</t>
  </si>
  <si>
    <t>ARCHIVES OF TOXICOLOGY</t>
  </si>
  <si>
    <t>ARCHIVES OF VIROLOGY</t>
  </si>
  <si>
    <t>ARQUIVO BRASILEIRO DE MEDICINA VETERINARIA E ZOOTECNIA</t>
  </si>
  <si>
    <t>ARQUIVOS DE NEURO-PSIQUIATRIA</t>
  </si>
  <si>
    <t>ARTERIOSCLEROSIS THROMBOSIS AND VASCULAR BIOLOGY</t>
  </si>
  <si>
    <t>ARTHRITIS RESEARCH &amp; THERAPY</t>
  </si>
  <si>
    <t>ARTHROSCOPY-THE JOURNAL OF ARTHROSCOPIC AND RELATED SURGERY</t>
  </si>
  <si>
    <t>ARTIFICIAL INTELLIGENCE IN MEDICINE</t>
  </si>
  <si>
    <t>ARTIFICIAL ORGANS</t>
  </si>
  <si>
    <t>ASAIO JOURNAL</t>
  </si>
  <si>
    <t>ASHRAE JOURNAL</t>
  </si>
  <si>
    <t>ASIA PACIFIC JOURNAL OF CLINICAL NUTRITION</t>
  </si>
  <si>
    <t>ASIAN JOURNAL OF ANDROLOGY</t>
  </si>
  <si>
    <t>ASIAN PACIFIC JOURNAL OF ALLERGY AND IMMUNOLOGY</t>
  </si>
  <si>
    <t>ASSAY AND DRUG DEVELOPMENT TECHNOLOGIES</t>
  </si>
  <si>
    <t>ATLA-ALTERNATIVES TO LABORATORY ANIMALS</t>
  </si>
  <si>
    <t>ATOMIZATION AND SPRAYS</t>
  </si>
  <si>
    <t>AUDIOLOGY AND NEURO-OTOLOGY</t>
  </si>
  <si>
    <t>AUSTRALIAN DENTAL JOURNAL</t>
  </si>
  <si>
    <t>AUSTRALIAN JOURNAL OF CHEMISTRY</t>
  </si>
  <si>
    <t>AUSTRALIAN &amp; NEW ZEALAND JOURNAL OF OBSTETRICS &amp; GYNAECOLOGY</t>
  </si>
  <si>
    <t>AUSTRALIAN AND NEW ZEALAND JOURNAL OF PSYCHIATRY</t>
  </si>
  <si>
    <t>AUSTRALIAN AND NEW ZEALAND JOURNAL OF PUBLIC HEALTH</t>
  </si>
  <si>
    <t>AUSTRALIAN &amp; NEW ZEALAND JOURNAL OF STATISTICS</t>
  </si>
  <si>
    <t>AUSTRALIAN VETERINARY JOURNAL</t>
  </si>
  <si>
    <t>AUTOIMMUNITY REVIEWS</t>
  </si>
  <si>
    <t>AUTONOMIC NEUROSCIENCE-BASIC &amp; CLINICAL</t>
  </si>
  <si>
    <t>Autophagy</t>
  </si>
  <si>
    <t>AVIAN DISEASES</t>
  </si>
  <si>
    <t>AVIAN PATHOLOGY</t>
  </si>
  <si>
    <t>BULLETIN DE L ACADEMIE NATIONALE DE MEDECINE</t>
  </si>
  <si>
    <t>BULLETIN DU CANCER</t>
  </si>
  <si>
    <t>BULLETIN OF THE CHEMICAL SOCIETY OF ETHIOPIA</t>
  </si>
  <si>
    <t>BULLETIN OF THE CHEMICAL SOCIETY OF JAPAN</t>
  </si>
  <si>
    <t>BULLETIN OF ENVIRONMENTAL CONTAMINATION AND TOXICOLOGY</t>
  </si>
  <si>
    <t>BULLETIN OF EXPERIMENTAL BIOLOGY AND MEDICINE</t>
  </si>
  <si>
    <t>BULLETIN OF THE HISTORY OF MEDICINE</t>
  </si>
  <si>
    <t>BULLETIN OF THE KOREAN CHEMICAL SOCIETY</t>
  </si>
  <si>
    <t>BULLETIN OF MATHEMATICAL BIOLOGY</t>
  </si>
  <si>
    <t>BULLETIN OF THE WORLD HEALTH ORGANIZATION</t>
  </si>
  <si>
    <t>BASIC &amp; CLINICAL PHARMACOLOGY &amp; TOXICOLOGY</t>
  </si>
  <si>
    <t>BASIC RESEARCH IN CARDIOLOGY</t>
  </si>
  <si>
    <t>BIOCHIMICA ET BIOPHYSICA ACTA-BIOENERGETICS</t>
  </si>
  <si>
    <t>BIOCHIMICA ET BIOPHYSICA ACTA-BIOMEMBRANES</t>
  </si>
  <si>
    <t>BIOCHIMICA ET BIOPHYSICA ACTA-GENERAL SUBJECTS</t>
  </si>
  <si>
    <t>BIOCHIMICA ET BIOPHYSICA ACTA-MOLECULAR BASIS OF DISEASE</t>
  </si>
  <si>
    <t>BIOCHIMICA ET BIOPHYSICA ACTA-MOLECULAR AND CELL BIOLOGY OF LIPIDS</t>
  </si>
  <si>
    <t>BIOCHIMICA ET BIOPHYSICA ACTA-MOLECULAR CELL RESEARCH</t>
  </si>
  <si>
    <t>BIOCHIMICA ET BIOPHYSICA ACTA-PROTEINS AND PROTEOMICS</t>
  </si>
  <si>
    <t>BIOCHIMICA ET BIOPHYSICA ACTA-REVIEWS ON CANCER</t>
  </si>
  <si>
    <t>BEHAVIOURAL BRAIN RESEARCH</t>
  </si>
  <si>
    <t>BEHAVIORAL AND BRAIN SCIENCES</t>
  </si>
  <si>
    <t>BEHAVIOR GENETICS</t>
  </si>
  <si>
    <t>BEHAVIORAL MEDICINE</t>
  </si>
  <si>
    <t>BEHAVIOURAL NEUROLOGY</t>
  </si>
  <si>
    <t>BEHAVIORAL NEUROSCIENCE</t>
  </si>
  <si>
    <t>BEHAVIOURAL PHARMACOLOGY</t>
  </si>
  <si>
    <t>Beilstein Journal of Organic Chemistry</t>
  </si>
  <si>
    <t>BERLINER UND MUNCHENER TIERARZTLICHE WOCHENSCHRIFT</t>
  </si>
  <si>
    <t>BEST PRACTICE &amp; RESEARCH CLINICAL ENDOCRINOLOGY &amp; METABOLISM</t>
  </si>
  <si>
    <t>BEST PRACTICE &amp; RESEARCH CLINICAL HAEMATOLOGY</t>
  </si>
  <si>
    <t>BEST PRACTICE &amp; RESEARCH IN CLINICAL RHEUMATOLOGY</t>
  </si>
  <si>
    <t>BIOCATALYSIS AND BIOTRANSFORMATION</t>
  </si>
  <si>
    <t>BIOCHEMICAL AND BIOPHYSICAL RESEARCH COMMUNICATIONS</t>
  </si>
  <si>
    <t>BIOCHEMICAL ENGINEERING JOURNAL</t>
  </si>
  <si>
    <t>BIOCHEMICAL GENETICS</t>
  </si>
  <si>
    <t>BIOCHEMICAL JOURNAL</t>
  </si>
  <si>
    <t>BIOCHEMISTRY AND MOLECULAR BIOLOGY EDUCATION</t>
  </si>
  <si>
    <t>BIOCHEMICAL PHARMACOLOGY</t>
  </si>
  <si>
    <t>BIOCHEMICAL SOCIETY TRANSACTIONS</t>
  </si>
  <si>
    <t>BIOCHEMICAL SYSTEMATICS AND ECOLOGY</t>
  </si>
  <si>
    <t>BIOCHEMISTRY-MOSCOW</t>
  </si>
  <si>
    <t>BIOCHEMISTRY</t>
  </si>
  <si>
    <t>BIOCONJUGATE CHEMISTRY</t>
  </si>
  <si>
    <t>BIOCONTROL SCIENCE AND TECHNOLOGY</t>
  </si>
  <si>
    <t>BIOINORGANIC CHEMISTRY AND APPLICATIONS</t>
  </si>
  <si>
    <t>BIOLOGY OF BLOOD AND MARROW TRANSPLANTATION</t>
  </si>
  <si>
    <t>BIOLOGY BULLETIN</t>
  </si>
  <si>
    <t>BIOLOGICAL BULLETIN</t>
  </si>
  <si>
    <t>BIOLOGY OF THE CELL</t>
  </si>
  <si>
    <t>BIOLOGICAL CHEMISTRY</t>
  </si>
  <si>
    <t>BIOLOGICAL CONTROL</t>
  </si>
  <si>
    <t>BIOLOGICAL CYBERNETICS</t>
  </si>
  <si>
    <t>Biology Letters</t>
  </si>
  <si>
    <t>BIOLOGICHESKIE MEMBRANY</t>
  </si>
  <si>
    <t>BIOLOGICAL &amp; PHARMACEUTICAL BULLETIN</t>
  </si>
  <si>
    <t>BIOLOGY &amp; PHILOSOPHY</t>
  </si>
  <si>
    <t>BIOLOGICAL PSYCHIATRY</t>
  </si>
  <si>
    <t>BIOLOGICAL PSYCHOLOGY</t>
  </si>
  <si>
    <t>BIOLOGY OF REPRODUCTION</t>
  </si>
  <si>
    <t>BIOLOGICAL RESEARCH</t>
  </si>
  <si>
    <t>BIOLOGICAL REVIEWS</t>
  </si>
  <si>
    <t>BIOLOGICAL RHYTHM RESEARCH</t>
  </si>
  <si>
    <t>BIOLOGY OF SPORT</t>
  </si>
  <si>
    <t>BIOLOGICAL TRACE ELEMENT RESEARCH</t>
  </si>
  <si>
    <t>BIOMASS &amp; BIOENERGY</t>
  </si>
  <si>
    <t>BIOMEDICAL CHROMATOGRAPHY</t>
  </si>
  <si>
    <t>BIOMEDICAL AND ENVIRONMENTAL SCIENCES</t>
  </si>
  <si>
    <t>BIO-MEDICAL MATERIALS AND ENGINEERING</t>
  </si>
  <si>
    <t>BIOMEDICAL MICRODEVICES</t>
  </si>
  <si>
    <t>BIOMEDICINE &amp; PHARMACOTHERAPY</t>
  </si>
  <si>
    <t>BIOMEDICAL RESEARCH-TOKYO</t>
  </si>
  <si>
    <t>BIOMETRICAL JOURNAL</t>
  </si>
  <si>
    <t>BIOORGANIC CHEMISTRY</t>
  </si>
  <si>
    <t>BIOORGANIC &amp; MEDICINAL CHEMISTRY LETTERS</t>
  </si>
  <si>
    <t>BIOORGANIC &amp; MEDICINAL CHEMISTRY</t>
  </si>
  <si>
    <t>BIOPHARMACEUTICS &amp; DRUG DISPOSITION</t>
  </si>
  <si>
    <t>BIOPHARM INTERNATIONAL</t>
  </si>
  <si>
    <t>BIOPHYSICAL CHEMISTRY</t>
  </si>
  <si>
    <t>BIOPHYSICAL JOURNAL</t>
  </si>
  <si>
    <t>BIOPROCESS AND BIOSYSTEMS ENGINEERING</t>
  </si>
  <si>
    <t>BIORESOURCE TECHNOLOGY</t>
  </si>
  <si>
    <t>BIOSCIENCE BIOTECHNOLOGY AND BIOCHEMISTRY</t>
  </si>
  <si>
    <t>BIOSCIENCE REPORTS</t>
  </si>
  <si>
    <t>BIOSENSORS &amp; BIOELECTRONICS</t>
  </si>
  <si>
    <t>BIOTECHNIC &amp; HISTOCHEMISTRY</t>
  </si>
  <si>
    <t>BIOTECHNOLOGY ADVANCES</t>
  </si>
  <si>
    <t>BIOTECHNOLOGY AND APPLIED BIOCHEMISTRY</t>
  </si>
  <si>
    <t>BIOTECHNOLOGY AND BIOENGINEERING</t>
  </si>
  <si>
    <t>BIOTECHNOLOGY AND BIOPROCESS ENGINEERING</t>
  </si>
  <si>
    <t>BIOTECHNOLOGY LAW REPORT</t>
  </si>
  <si>
    <t>BIOTECHNOLOGY LETTERS</t>
  </si>
  <si>
    <t>BIOTECHNOLOGY PROGRESS</t>
  </si>
  <si>
    <t>BIPOLAR DISORDERS</t>
  </si>
  <si>
    <t>BIRTH-ISSUES IN PERINATAL CARE</t>
  </si>
  <si>
    <t>BJOG-AN INTERNATIONAL JOURNAL OF OBSTETRICS AND GYNAECOLOGY</t>
  </si>
  <si>
    <t>BJU INTERNATIONAL</t>
  </si>
  <si>
    <t>BLOOD CELLS MOLECULES AND DISEASES</t>
  </si>
  <si>
    <t>BLOOD COAGULATION &amp; FIBRINOLYSIS</t>
  </si>
  <si>
    <t>BLOOD PRESSURE MONITORING</t>
  </si>
  <si>
    <t>BLOOD PURIFICATION</t>
  </si>
  <si>
    <t>BLOOD REVIEWS</t>
  </si>
  <si>
    <t>BMC BIOTECHNOLOGY</t>
  </si>
  <si>
    <t>AM J BIOETHICS</t>
  </si>
  <si>
    <t>AM J CARDIOL</t>
  </si>
  <si>
    <t>AM J CHINESE MED</t>
  </si>
  <si>
    <t>AM J CLIN DERMATOL</t>
  </si>
  <si>
    <t>AM J CLIN NUTR</t>
  </si>
  <si>
    <t>AM J CLIN ONCOL-CANC</t>
  </si>
  <si>
    <t>AM J CLIN PATHOL</t>
  </si>
  <si>
    <t>AM J CRIT CARE</t>
  </si>
  <si>
    <t>AM J DENT</t>
  </si>
  <si>
    <t>AM J DERMATOPATH</t>
  </si>
  <si>
    <t>AM J EMERG MED</t>
  </si>
  <si>
    <t>AM J ENOL VITICULT</t>
  </si>
  <si>
    <t>AM J EPIDEMIOL</t>
  </si>
  <si>
    <t>AM J FOREN MED PATH</t>
  </si>
  <si>
    <t>AM J GASTROENTEROL</t>
  </si>
  <si>
    <t>AM J GERIAT PSYCHIAT</t>
  </si>
  <si>
    <t>AM J HEALTH-SYST PH</t>
  </si>
  <si>
    <t>AM J HEMATOL</t>
  </si>
  <si>
    <t>AM J HUM BIOL</t>
  </si>
  <si>
    <t>AM J HUM GENET</t>
  </si>
  <si>
    <t>AM J HYPERTENS</t>
  </si>
  <si>
    <t>AM J IND MED</t>
  </si>
  <si>
    <t>AM J INFECT CONTROL</t>
  </si>
  <si>
    <t>AM J KIDNEY DIS</t>
  </si>
  <si>
    <t>AM J MANAG CARE</t>
  </si>
  <si>
    <t>AM J MED</t>
  </si>
  <si>
    <t>AM J MED GENET A</t>
  </si>
  <si>
    <t>AM J MED GENET B</t>
  </si>
  <si>
    <t>AM J MED GENET C</t>
  </si>
  <si>
    <t>AM J MED QUAL</t>
  </si>
  <si>
    <t>AM J MED SCI</t>
  </si>
  <si>
    <t>AM J NEPHROL</t>
  </si>
  <si>
    <t>AM J NEURORADIOL</t>
  </si>
  <si>
    <t>AM J NURS</t>
  </si>
  <si>
    <t>AM J OBSTET GYNECOL</t>
  </si>
  <si>
    <t>AM J OPHTHALMOL</t>
  </si>
  <si>
    <t>AM J ORTHOD DENTOFAC</t>
  </si>
  <si>
    <t>AM J ORTHOPSYCHIAT</t>
  </si>
  <si>
    <t>AM J OTOLARYNG</t>
  </si>
  <si>
    <t>AM J PATHOL</t>
  </si>
  <si>
    <t>AM J PERINAT</t>
  </si>
  <si>
    <t>AM J PHARM EDUC</t>
  </si>
  <si>
    <t>AM J PHYS</t>
  </si>
  <si>
    <t>AM J PHYS MED REHAB</t>
  </si>
  <si>
    <t>AM J PHYSIOL-CELL PH</t>
  </si>
  <si>
    <t>AM J PHYSIOL-ENDOC M</t>
  </si>
  <si>
    <t>AM J PHYSIOL-GASTR L</t>
  </si>
  <si>
    <t>AM J PHYSIOL-HEART C</t>
  </si>
  <si>
    <t>AM J PHYSIOL-LUNG C</t>
  </si>
  <si>
    <t>AM J PHYSIOL-REG I</t>
  </si>
  <si>
    <t>AM J PHYSIOL-RENAL</t>
  </si>
  <si>
    <t>AM J PREV MED</t>
  </si>
  <si>
    <t>AM J PSYCHIAT</t>
  </si>
  <si>
    <t>AM J PUBLIC HEALTH</t>
  </si>
  <si>
    <t>AM J REPROD IMMUNOL</t>
  </si>
  <si>
    <t>AM J RESP CELL MOL</t>
  </si>
  <si>
    <t>AM J RESP CRIT CARE</t>
  </si>
  <si>
    <t>AM J ROENTGENOL</t>
  </si>
  <si>
    <t>AM J SPORT MED</t>
  </si>
  <si>
    <t>AM J SURG</t>
  </si>
  <si>
    <t>AM J SURG PATHOL</t>
  </si>
  <si>
    <t>AM J TRANSPLANT</t>
  </si>
  <si>
    <t>TRANSPLANTATION</t>
  </si>
  <si>
    <t>AM J TROP MED HYG</t>
  </si>
  <si>
    <t>AM J VET RES</t>
  </si>
  <si>
    <t>AM SCI</t>
  </si>
  <si>
    <t>AM STAT</t>
  </si>
  <si>
    <t>AM SURGEON</t>
  </si>
  <si>
    <t>AMINO ACIDS</t>
  </si>
  <si>
    <t>AMYLOID</t>
  </si>
  <si>
    <t>AN ACAD BRAS CIENC</t>
  </si>
  <si>
    <t>ANAEROBE</t>
  </si>
  <si>
    <t>ANAESTH INTENS CARE</t>
  </si>
  <si>
    <t>ANAESTHESIA</t>
  </si>
  <si>
    <t>ANAESTHESIST</t>
  </si>
  <si>
    <t>ANAL BIOANAL CHEM</t>
  </si>
  <si>
    <t>ANAL BIOCHEM</t>
  </si>
  <si>
    <t>ANAL CHEM</t>
  </si>
  <si>
    <t>ANAL CHIM ACTA</t>
  </si>
  <si>
    <t>ANAL LETT</t>
  </si>
  <si>
    <t>ANAL SCI</t>
  </si>
  <si>
    <t>ANALYST</t>
  </si>
  <si>
    <t>ANASTH INTENSIV NOTF</t>
  </si>
  <si>
    <t>ANASTH INTENSIVMED</t>
  </si>
  <si>
    <t>ANAT HISTOL EMBRYOL</t>
  </si>
  <si>
    <t>ANDROLOGIA</t>
  </si>
  <si>
    <t>ANESTH ANALG</t>
  </si>
  <si>
    <t>ANGEW CHEM INT EDIT</t>
  </si>
  <si>
    <t>ANGIOLOGY</t>
  </si>
  <si>
    <t>ANGLE ORTHOD</t>
  </si>
  <si>
    <t>ANIM BIOTECHNOL</t>
  </si>
  <si>
    <t>ANIM GENET</t>
  </si>
  <si>
    <t>ANIM REPROD SCI</t>
  </si>
  <si>
    <t>ANIM WELFARE</t>
  </si>
  <si>
    <t>ANN ACAD MED SINGAP</t>
  </si>
  <si>
    <t>ANN AGR ENV MED</t>
  </si>
  <si>
    <t>ANN ALLERG ASTHMA IM</t>
  </si>
  <si>
    <t>ANN ANAT</t>
  </si>
  <si>
    <t>ANN APPL PROBAB</t>
  </si>
  <si>
    <t>ANN BIOL CLIN-PARIS</t>
  </si>
  <si>
    <t>ANN BIOMED ENG</t>
  </si>
  <si>
    <t>ANN CLIN BIOCHEM</t>
  </si>
  <si>
    <t>ANN CLIN LAB SCI</t>
  </si>
  <si>
    <t>ANN DERMATOL VENER</t>
  </si>
  <si>
    <t>ANN EMERG MED</t>
  </si>
  <si>
    <t>ANN ENDOCRINOL-PARIS</t>
  </si>
  <si>
    <t>ANN EPIDEMIOL</t>
  </si>
  <si>
    <t>ANN FAM MED</t>
  </si>
  <si>
    <t>ANN HEMATOL</t>
  </si>
  <si>
    <t>ANN HUM BIOL</t>
  </si>
  <si>
    <t>ANN HUM GENET</t>
  </si>
  <si>
    <t>ANN I H POINCARE-PR</t>
  </si>
  <si>
    <t>ANN I STAT MATH</t>
  </si>
  <si>
    <t>ANN INTERN MED</t>
  </si>
  <si>
    <t>ANN MED</t>
  </si>
  <si>
    <t>ANN MICROBIOL</t>
  </si>
  <si>
    <t>ANN NEUROL</t>
  </si>
  <si>
    <t>ANN NONINVAS ELECTRO</t>
  </si>
  <si>
    <t>ANN NUCL MED</t>
  </si>
  <si>
    <t>ANN NUTR METAB</t>
  </si>
  <si>
    <t>ANN NY ACAD SCI</t>
  </si>
  <si>
    <t>ANN ONCOL</t>
  </si>
  <si>
    <t>ANN OTO RHINOL LARYN</t>
  </si>
  <si>
    <t>ANN PATHOL</t>
  </si>
  <si>
    <t>ANN PHARMACOTHER</t>
  </si>
  <si>
    <t>ANN PLAS SURG</t>
  </si>
  <si>
    <t>ANN PROBAB</t>
  </si>
  <si>
    <t>ANN RHEUM DIS</t>
  </si>
  <si>
    <t>ANN ROY COLL SURG</t>
  </si>
  <si>
    <t>ANN SAUDI MED</t>
  </si>
  <si>
    <t>ANN SCI</t>
  </si>
  <si>
    <t>ANN STAT</t>
  </si>
  <si>
    <t>ANN SURG</t>
  </si>
  <si>
    <t>ANN SURG ONCOL</t>
  </si>
  <si>
    <t>ANN THORAC SURG</t>
  </si>
  <si>
    <t>ANN VASC SURG</t>
  </si>
  <si>
    <t>ANNU REP MED CHEM</t>
  </si>
  <si>
    <t>ANNU REV BIOCHEM</t>
  </si>
  <si>
    <t>ANNU REV BIOMED ENG</t>
  </si>
  <si>
    <t>ANNU REV CELL DEV BI</t>
  </si>
  <si>
    <t>ANNU REV GENET</t>
  </si>
  <si>
    <t>ANNU REV GENOM HUM G</t>
  </si>
  <si>
    <t>ANNU REV IMMUNOL</t>
  </si>
  <si>
    <t>ANNU REV MED</t>
  </si>
  <si>
    <t>ANNU REV MICROBIOL</t>
  </si>
  <si>
    <t>ANNU REV NEUROSCI</t>
  </si>
  <si>
    <t>ANNU REV NUTR</t>
  </si>
  <si>
    <t>ANNU REV PHARMACOL</t>
  </si>
  <si>
    <t>ANNU REV PHYSIOL</t>
  </si>
  <si>
    <t>ANNU REV PSYCHOL</t>
  </si>
  <si>
    <t>ANNU REV PUBL HEALTH</t>
  </si>
  <si>
    <t>ANTHROZOOS</t>
  </si>
  <si>
    <t>ANTI-CANCER DRUG</t>
  </si>
  <si>
    <t>ANTICANCER RES</t>
  </si>
  <si>
    <t>ANTIMICROB AGENTS CH</t>
  </si>
  <si>
    <t>ANTIOXID REDOX SIGN</t>
  </si>
  <si>
    <t>ANTIVIR RES</t>
  </si>
  <si>
    <t>ANTON LEEUW INT J G</t>
  </si>
  <si>
    <t>ANZ J SURG</t>
  </si>
  <si>
    <t>APHASIOLOGY</t>
  </si>
  <si>
    <t>APMIS</t>
  </si>
  <si>
    <t>APOPTOSIS</t>
  </si>
  <si>
    <t>APPETITE</t>
  </si>
  <si>
    <t>APPL ACOUST</t>
  </si>
  <si>
    <t>APPL ANIM BEHAV SCI</t>
  </si>
  <si>
    <t>APPL BIOCHEM BIOTECH</t>
  </si>
  <si>
    <t>APPL BIOCHEM MICRO+</t>
  </si>
  <si>
    <t>APPL ENVIRON MICROB</t>
  </si>
  <si>
    <t>APPL IMMUNOHISTO M M</t>
  </si>
  <si>
    <t>APPL MICROBIOL BIOT</t>
  </si>
  <si>
    <t>APPL NURS RES</t>
  </si>
  <si>
    <t>APPL OPTICS</t>
  </si>
  <si>
    <t>BREAST</t>
  </si>
  <si>
    <t>BREAST CANCER RES</t>
  </si>
  <si>
    <t>BREAST CANCER RES TR</t>
  </si>
  <si>
    <t>BREAST CARE</t>
  </si>
  <si>
    <t>BRIEF BIOINFORM</t>
  </si>
  <si>
    <t>BRIT DENT J</t>
  </si>
  <si>
    <t>BRIT J ANAESTH</t>
  </si>
  <si>
    <t>BRIT J BIOMED SCI</t>
  </si>
  <si>
    <t>BRIT J CANCER</t>
  </si>
  <si>
    <t>BRIT J CLIN PHARMACO</t>
  </si>
  <si>
    <t>BRIT J DERMATOL</t>
  </si>
  <si>
    <t>BRIT J GEN PRACT</t>
  </si>
  <si>
    <t>BRIT J HAEMATOL</t>
  </si>
  <si>
    <t>BRIT J MATH STAT PSY</t>
  </si>
  <si>
    <t>BRIT J NEUROSURG</t>
  </si>
  <si>
    <t>BRIT J NUTR</t>
  </si>
  <si>
    <t>BRIT J OPHTHALMOL</t>
  </si>
  <si>
    <t>BRIT J ORAL MAX SURG</t>
  </si>
  <si>
    <t>BRIT J PHARMACOL</t>
  </si>
  <si>
    <t>BRIT J PHILOS SCI</t>
  </si>
  <si>
    <t>BRIT J PSYCHIAT</t>
  </si>
  <si>
    <t>BRIT J RADIOL</t>
  </si>
  <si>
    <t>BRIT J SPORT MED</t>
  </si>
  <si>
    <t>BRIT J SURG</t>
  </si>
  <si>
    <t>BRIT MED BULL</t>
  </si>
  <si>
    <t>BUNSEKI KAGAKU</t>
  </si>
  <si>
    <t>BURNS</t>
  </si>
  <si>
    <t>CA-CANCER J CLIN</t>
  </si>
  <si>
    <t>CALCIFIED TISSUE INT</t>
  </si>
  <si>
    <t>CAMB Q HEALTHC ETHIC</t>
  </si>
  <si>
    <t>CAN ASSOC RADIOL J</t>
  </si>
  <si>
    <t>CAN FAM PHYSICIAN</t>
  </si>
  <si>
    <t>CAN J CARDIOL</t>
  </si>
  <si>
    <t>CAN J CHEM</t>
  </si>
  <si>
    <t>CAN J DIET PRACT RES</t>
  </si>
  <si>
    <t>CAN J GASTROENTEROL</t>
  </si>
  <si>
    <t>CAN J MICROBIOL</t>
  </si>
  <si>
    <t>CAN J NEUROL SCI</t>
  </si>
  <si>
    <t>CAN J OPHTHALMOL</t>
  </si>
  <si>
    <t>CAN J PHYSIOL PHARM</t>
  </si>
  <si>
    <t>CAN J PSYCHIAT</t>
  </si>
  <si>
    <t>CAN J STAT</t>
  </si>
  <si>
    <t>CAN J SURG</t>
  </si>
  <si>
    <t>CAN J VET RES</t>
  </si>
  <si>
    <t>CAN MED ASSOC J</t>
  </si>
  <si>
    <t>CAN VET J</t>
  </si>
  <si>
    <t>CANCER BIOL THER</t>
  </si>
  <si>
    <t>CANCER BIOTHER RADIO</t>
  </si>
  <si>
    <t>CANCER CAUSE CONTROL</t>
  </si>
  <si>
    <t>CANCER CELL</t>
  </si>
  <si>
    <t>CANCER CHEMOTH PHARM</t>
  </si>
  <si>
    <t>CANCER EPIDEM BIOMAR</t>
  </si>
  <si>
    <t>CANCER GENE THER</t>
  </si>
  <si>
    <t>CANCER IMMUNOL IMMUN</t>
  </si>
  <si>
    <t>CANCER INVEST</t>
  </si>
  <si>
    <t>CANCER J</t>
  </si>
  <si>
    <t>CANCER LETT</t>
  </si>
  <si>
    <t>CANCER METAST REV</t>
  </si>
  <si>
    <t>CANCER NURS</t>
  </si>
  <si>
    <t>CANCER RES</t>
  </si>
  <si>
    <t>CANCER SCI</t>
  </si>
  <si>
    <t>CANCER TREAT REV</t>
  </si>
  <si>
    <t>CARBOHYD POLYM</t>
  </si>
  <si>
    <t>CARBOHYD RES</t>
  </si>
  <si>
    <t>CARCINOGENESIS</t>
  </si>
  <si>
    <t>CARDIOL CLIN</t>
  </si>
  <si>
    <t>CARDIOL YOUNG</t>
  </si>
  <si>
    <t>CARDIOLOGY</t>
  </si>
  <si>
    <t>CARDIOVASC DRUG THER</t>
  </si>
  <si>
    <t>CARDIOVASC INTER RAD</t>
  </si>
  <si>
    <t>CARDIOVASC PATHOL</t>
  </si>
  <si>
    <t>CARDIOVASC RES</t>
  </si>
  <si>
    <t>CARIES RES</t>
  </si>
  <si>
    <t>CARYOLOGIA</t>
  </si>
  <si>
    <t>CATHETER CARDIO INTE</t>
  </si>
  <si>
    <t>CATTLE PRACT</t>
  </si>
  <si>
    <t>CELL</t>
  </si>
  <si>
    <t>CELL BIOCHEM BIOPHYS</t>
  </si>
  <si>
    <t>CELL BIOCHEM FUNCT</t>
  </si>
  <si>
    <t>CELL BIOL INT</t>
  </si>
  <si>
    <t>CELL BIOL TOXICOL</t>
  </si>
  <si>
    <t>CELL CALCIUM</t>
  </si>
  <si>
    <t>CELL CYCLE</t>
  </si>
  <si>
    <t>CELL DEATH DIFFER</t>
  </si>
  <si>
    <t>CELL IMMUNOL</t>
  </si>
  <si>
    <t>CELL METAB</t>
  </si>
  <si>
    <t>CELL MICROBIOL</t>
  </si>
  <si>
    <t>CELL MOL BIOL</t>
  </si>
  <si>
    <t>CELL MOL BIOL LETT</t>
  </si>
  <si>
    <t>CELL MOL LIFE SCI</t>
  </si>
  <si>
    <t>CELL MOL NEUROBIOL</t>
  </si>
  <si>
    <t>CELL ONCOL</t>
  </si>
  <si>
    <t>CELL PROLIFERAT</t>
  </si>
  <si>
    <t>CELL RES</t>
  </si>
  <si>
    <t>CELL SIGNAL</t>
  </si>
  <si>
    <t>CELL STRESS CHAPERON</t>
  </si>
  <si>
    <t>CELL STRUCT FUNCT</t>
  </si>
  <si>
    <t>CELL TISSUE RES</t>
  </si>
  <si>
    <t>CELL TRANSPLANT</t>
  </si>
  <si>
    <t>CELLS TISSUES ORGANS</t>
  </si>
  <si>
    <t>CEPHALALGIA</t>
  </si>
  <si>
    <t>CEREB CORTEX</t>
  </si>
  <si>
    <t>CEREBELLUM</t>
  </si>
  <si>
    <t>CEREBROVASC DIS</t>
  </si>
  <si>
    <t>CAMBRIDGE QUARTERLY OF HEALTHCARE ETHICS</t>
  </si>
  <si>
    <t>CANADIAN FAMILY PHYSICIAN</t>
  </si>
  <si>
    <t>CANADIAN JOURNAL OF CARDIOLOGY</t>
  </si>
  <si>
    <t>CANADIAN JOURNAL OF DIETETIC PRACTICE AND RESEARCH</t>
  </si>
  <si>
    <t>CANADIAN JOURNAL OF MICROBIOLOGY</t>
  </si>
  <si>
    <t>CANADIAN JOURNAL OF NEUROLOGICAL SCIENCES</t>
  </si>
  <si>
    <t>CANADIAN JOURNAL OF OPHTHALMOLOGY-JOURNAL CANADIEN D OPHTALMOLOGIE</t>
  </si>
  <si>
    <t>CANADIAN JOURNAL OF PHYSIOLOGY AND PHARMACOLOGY</t>
  </si>
  <si>
    <t>CANADIAN JOURNAL OF PSYCHIATRY-REVUE CANADIENNE DE PSYCHIATRIE</t>
  </si>
  <si>
    <t>CANADIAN JOURNAL OF STATISTICS-REVUE CANADIENNE DE STATISTIQUE</t>
  </si>
  <si>
    <t>CANADIAN JOURNAL OF SURGERY</t>
  </si>
  <si>
    <t>CANADIAN MEDICAL ASSOCIATION JOURNAL</t>
  </si>
  <si>
    <t>CANADIAN VETERINARY JOURNAL-REVUE VETERINAIRE CANADIENNE</t>
  </si>
  <si>
    <t>CANCER BIOLOGY &amp; THERAPY</t>
  </si>
  <si>
    <t>CANCER BIOTHERAPY AND RADIOPHARMACEUTICALS</t>
  </si>
  <si>
    <t>CANCER CAUSES &amp; CONTROL</t>
  </si>
  <si>
    <t>CANCER CHEMOTHERAPY AND PHARMACOLOGY</t>
  </si>
  <si>
    <t>CANCER EPIDEMIOLOGY BIOMARKERS &amp; PREVENTION</t>
  </si>
  <si>
    <t>CANCER GENE THERAPY</t>
  </si>
  <si>
    <t>CANCER IMMUNOLOGY IMMUNOTHERAPY</t>
  </si>
  <si>
    <t>CANCER INVESTIGATION</t>
  </si>
  <si>
    <t>CANCER JOURNAL</t>
  </si>
  <si>
    <t>CANCER LETTERS</t>
  </si>
  <si>
    <t>CANCER AND METASTASIS REVIEWS</t>
  </si>
  <si>
    <t>CANCER NURSING</t>
  </si>
  <si>
    <t>CANCER RESEARCH</t>
  </si>
  <si>
    <t>CANCER SCIENCE</t>
  </si>
  <si>
    <t>CANCER TREATMENT REVIEWS</t>
  </si>
  <si>
    <t>CARBOHYDRATE POLYMERS</t>
  </si>
  <si>
    <t>CARBOHYDRATE RESEARCH</t>
  </si>
  <si>
    <t>CARDIOLOGY CLINICS</t>
  </si>
  <si>
    <t>CARDIOLOGY IN THE YOUNG</t>
  </si>
  <si>
    <t>CARDIOVASCULAR DRUGS AND THERAPY</t>
  </si>
  <si>
    <t>CARDIOVASCULAR AND INTERVENTIONAL RADIOLOGY</t>
  </si>
  <si>
    <t>CARDIOVASCULAR PATHOLOGY</t>
  </si>
  <si>
    <t>CARDIOVASCULAR RESEARCH</t>
  </si>
  <si>
    <t>CARIES RESEARCH</t>
  </si>
  <si>
    <t>CATHETERIZATION AND CARDIOVASCULAR INTERVENTIONS</t>
  </si>
  <si>
    <t>CATTLE PRACTICE</t>
  </si>
  <si>
    <t>CELL BIOCHEMISTRY AND BIOPHYSICS</t>
  </si>
  <si>
    <t>CELL BIOCHEMISTRY AND FUNCTION</t>
  </si>
  <si>
    <t>CELL BIOLOGY INTERNATIONAL</t>
  </si>
  <si>
    <t>CELL BIOLOGY AND TOXICOLOGY</t>
  </si>
  <si>
    <t>CELL DEATH AND DIFFERENTIATION</t>
  </si>
  <si>
    <t>CELLULAR IMMUNOLOGY</t>
  </si>
  <si>
    <t>Cell Metabolism</t>
  </si>
  <si>
    <t>CELLULAR MICROBIOLOGY</t>
  </si>
  <si>
    <t>CELLULAR AND MOLECULAR BIOLOGY</t>
  </si>
  <si>
    <t>CELLULAR &amp; MOLECULAR BIOLOGY LETTERS</t>
  </si>
  <si>
    <t>CELLULAR AND MOLECULAR LIFE SCIENCES</t>
  </si>
  <si>
    <t>CELLULAR AND MOLECULAR NEUROBIOLOGY</t>
  </si>
  <si>
    <t>CELLULAR ONCOLOGY</t>
  </si>
  <si>
    <t>CELL PROLIFERATION</t>
  </si>
  <si>
    <t>CELL RESEARCH</t>
  </si>
  <si>
    <t>CELLULAR SIGNALLING</t>
  </si>
  <si>
    <t>CELL STRESS &amp; CHAPERONES</t>
  </si>
  <si>
    <t>CELL STRUCTURE AND FUNCTION</t>
  </si>
  <si>
    <t>CELL AND TISSUE RESEARCH</t>
  </si>
  <si>
    <t>CELL TRANSPLANTATION</t>
  </si>
  <si>
    <t>CEREBRAL CORTEX</t>
  </si>
  <si>
    <t>CEREBROVASCULAR DISEASES</t>
  </si>
  <si>
    <t>CESKA A SLOVENSKA NEUROLOGIE A NEUROCHIRURGIE</t>
  </si>
  <si>
    <t>CHEMICAL AND BIOCHEMICAL ENGINEERING QUARTERLY</t>
  </si>
  <si>
    <t>CHEMISTRY &amp; BIODIVERSITY</t>
  </si>
  <si>
    <t>Chemical Biology &amp; Drug Design</t>
  </si>
  <si>
    <t>CHEMICAL COMMUNICATIONS</t>
  </si>
  <si>
    <t>CHEMICAL &amp; ENGINEERING NEWS</t>
  </si>
  <si>
    <t>CHEMICAL JOURNAL OF CHINESE UNIVERSITIES-CHINESE</t>
  </si>
  <si>
    <t>CHEMISTRY LETTERS</t>
  </si>
  <si>
    <t>CHEMICKE LISTY</t>
  </si>
  <si>
    <t>CHEMISTRY OF NATURAL COMPOUNDS</t>
  </si>
  <si>
    <t>CHEMICAL PAPERS</t>
  </si>
  <si>
    <t>CHEMICAL &amp; PHARMACEUTICAL BULLETIN</t>
  </si>
  <si>
    <t>CHEMISTRY AND PHYSICS OF LIPIDS</t>
  </si>
  <si>
    <t>CHEMICAL RECORD</t>
  </si>
  <si>
    <t>CHEMICAL RESEARCH IN CHINESE UNIVERSITIES</t>
  </si>
  <si>
    <t>CHEMICAL RESEARCH IN TOXICOLOGY</t>
  </si>
  <si>
    <t>CHEMICAL REVIEWS</t>
  </si>
  <si>
    <t>CHEMICAL SENSES</t>
  </si>
  <si>
    <t>CHEMICAL SOCIETY REVIEWS</t>
  </si>
  <si>
    <t>CLIN GENET</t>
  </si>
  <si>
    <t>CLIN GERIATR MED</t>
  </si>
  <si>
    <t>CLIN HEMORHEOL MICRO</t>
  </si>
  <si>
    <t>CLIN IMAG</t>
  </si>
  <si>
    <t>CLIN IMMUNOL</t>
  </si>
  <si>
    <t>CLIN INFECT DIS</t>
  </si>
  <si>
    <t>CLIN INVEST MED</t>
  </si>
  <si>
    <t>CLIN J AM SOC NEPHRO</t>
  </si>
  <si>
    <t>CLIN J PAIN</t>
  </si>
  <si>
    <t>CLIN J SPORT MED</t>
  </si>
  <si>
    <t>CLIN LAB MED</t>
  </si>
  <si>
    <t>CLIN MED</t>
  </si>
  <si>
    <t>CLIN MICROBIOL INFEC</t>
  </si>
  <si>
    <t>CLIN MICROBIOL REV</t>
  </si>
  <si>
    <t>CLIN NEPHROL</t>
  </si>
  <si>
    <t>CLIN NEUROL NEUROSUR</t>
  </si>
  <si>
    <t>CLIN NEUROPATHOL</t>
  </si>
  <si>
    <t>CLIN NEUROPHARMACOL</t>
  </si>
  <si>
    <t>CLIN NEUROPHYSIOL</t>
  </si>
  <si>
    <t>CLIN NEUROPSYCHOL</t>
  </si>
  <si>
    <t>CLIN NUCL MED</t>
  </si>
  <si>
    <t>ALDRICHIM ACTA</t>
  </si>
  <si>
    <t>ALLERGOLOGIE</t>
  </si>
  <si>
    <t>ALLERGY</t>
  </si>
  <si>
    <t>ALLERGY ASTHMA PROC</t>
  </si>
  <si>
    <t>ALZ DIS ASSOC DIS</t>
  </si>
  <si>
    <t>AM BIOL TEACH</t>
  </si>
  <si>
    <t>AM FAM PHYSICIAN</t>
  </si>
  <si>
    <t>AM HEART J</t>
  </si>
  <si>
    <t>ENVIRON MICROBIOL</t>
  </si>
  <si>
    <t>ENVIRON MOL MUTAGEN</t>
  </si>
  <si>
    <t>ENVIRON RES</t>
  </si>
  <si>
    <t>ENVIRON TOXICOL</t>
  </si>
  <si>
    <t>ENVIRON TOXICOL CHEM</t>
  </si>
  <si>
    <t>ENVIRON TOXICOL PHAR</t>
  </si>
  <si>
    <t>ENVIRONMETRICS</t>
  </si>
  <si>
    <t>ENZYME MICROB TECH</t>
  </si>
  <si>
    <t>EPIDEMIOL INFECT</t>
  </si>
  <si>
    <t>EPIDEMIOL REV</t>
  </si>
  <si>
    <t>EPIDEMIOLOGY</t>
  </si>
  <si>
    <t>EPILEPSIA</t>
  </si>
  <si>
    <t>EPILEPSY BEHAV</t>
  </si>
  <si>
    <t>EPILEPSY RES</t>
  </si>
  <si>
    <t>EPILEPTIC DISORD</t>
  </si>
  <si>
    <t>EQUINE VET EDUC</t>
  </si>
  <si>
    <t>EQUINE VET J</t>
  </si>
  <si>
    <t>ERGONOMICS</t>
  </si>
  <si>
    <t>ESSAYS BIOCHEM</t>
  </si>
  <si>
    <t>ETHNIC DIS</t>
  </si>
  <si>
    <t>ETHNIC HEALTH</t>
  </si>
  <si>
    <t>EUR ARCH OTO-RHINO-L</t>
  </si>
  <si>
    <t>EUR ARCH PSY CLIN N</t>
  </si>
  <si>
    <t>EUR BIOPHYS J BIOPHY</t>
  </si>
  <si>
    <t>EUR CYTOKINE NETW</t>
  </si>
  <si>
    <t>EUR HEART J</t>
  </si>
  <si>
    <t>EUR HEART J SUPPL</t>
  </si>
  <si>
    <t>EUR J ANAESTH</t>
  </si>
  <si>
    <t>EUR J APPL PHYSIOL</t>
  </si>
  <si>
    <t>EUR J CANCER</t>
  </si>
  <si>
    <t>EUR J CANCER CARE</t>
  </si>
  <si>
    <t>EUR J CANCER PREV</t>
  </si>
  <si>
    <t>EUR J CARDIO-THORAC</t>
  </si>
  <si>
    <t>EUR J CELL BIOL</t>
  </si>
  <si>
    <t>EUR J CLIN INVEST</t>
  </si>
  <si>
    <t>EUR J CLIN MICROBIOL</t>
  </si>
  <si>
    <t>EUR J CLIN NUTR</t>
  </si>
  <si>
    <t>EUR J CLIN PHARMACOL</t>
  </si>
  <si>
    <t>EUR J CONTRACEP REPR</t>
  </si>
  <si>
    <t>EUR J DERMATOL</t>
  </si>
  <si>
    <t>EUR J DRUG METAB PH</t>
  </si>
  <si>
    <t>EUR J ENDOCRINOL</t>
  </si>
  <si>
    <t>EUR J EPIDEMIOL</t>
  </si>
  <si>
    <t>EUR J GASTROEN HEPAT</t>
  </si>
  <si>
    <t>EUR J GYNAECOL ONCOL</t>
  </si>
  <si>
    <t>EUR J HAEMATOL</t>
  </si>
  <si>
    <t>EUR J HEART FAIL</t>
  </si>
  <si>
    <t>EUR J HISTOCHEM</t>
  </si>
  <si>
    <t>EUR J HUM GENET</t>
  </si>
  <si>
    <t>EUR J IMMUNOL</t>
  </si>
  <si>
    <t>EUR J LIPID SCI TECH</t>
  </si>
  <si>
    <t>EUR J MED CHEM</t>
  </si>
  <si>
    <t>EUR J MED GENET</t>
  </si>
  <si>
    <t>EUR J MED RES</t>
  </si>
  <si>
    <t>EUR J NEUROL</t>
  </si>
  <si>
    <t>EUR J NEUROSCI</t>
  </si>
  <si>
    <t>EUR J NUCL MED MOL I</t>
  </si>
  <si>
    <t>EUR J NUTR</t>
  </si>
  <si>
    <t>EUR J OBSTET GYN R B</t>
  </si>
  <si>
    <t>EUR J OPHTHALMOL</t>
  </si>
  <si>
    <t>EUR J ORAL SCI</t>
  </si>
  <si>
    <t>EUR J ORG CHEM</t>
  </si>
  <si>
    <t>EUR J ORTHODONT</t>
  </si>
  <si>
    <t>EUR J PAEDIATR NEURO</t>
  </si>
  <si>
    <t>EUR J PAIN</t>
  </si>
  <si>
    <t>EUR J PEDIATR</t>
  </si>
  <si>
    <t>EUR J PEDIATR SURG</t>
  </si>
  <si>
    <t>EUR J PHARM BIOPHARM</t>
  </si>
  <si>
    <t>EUR J PHARM SCI</t>
  </si>
  <si>
    <t>EUR J PHARMACOL</t>
  </si>
  <si>
    <t>EUR J PHYS</t>
  </si>
  <si>
    <t>EUR J PROTISTOL</t>
  </si>
  <si>
    <t>EUR J PUBLIC HEALTH</t>
  </si>
  <si>
    <t>EUR J RADIOL</t>
  </si>
  <si>
    <t>EUR J VASC ENDOVASC</t>
  </si>
  <si>
    <t>EUR NEUROL</t>
  </si>
  <si>
    <t>EUR NEUROPSYCHOPHARM</t>
  </si>
  <si>
    <t>EUR PSYCHIAT</t>
  </si>
  <si>
    <t>EUR RADIOL</t>
  </si>
  <si>
    <t>EUR RESPIR J</t>
  </si>
  <si>
    <t>EUR SPINE J</t>
  </si>
  <si>
    <t>EUR SURG RES</t>
  </si>
  <si>
    <t>EUR UROL</t>
  </si>
  <si>
    <t>EUR UROL SUPPL</t>
  </si>
  <si>
    <t>EUROPACE</t>
  </si>
  <si>
    <t>EVAL HEALTH PROF</t>
  </si>
  <si>
    <t>EVOL DEV</t>
  </si>
  <si>
    <t>EVOL ECOL</t>
  </si>
  <si>
    <t>EVOLUTION</t>
  </si>
  <si>
    <t>EXERC IMMUNOL REV</t>
  </si>
  <si>
    <t>EXERC SPORT SCI REV</t>
  </si>
  <si>
    <t>EXP AGING RES</t>
  </si>
  <si>
    <t>EXP ANIM TOKYO</t>
  </si>
  <si>
    <t>EXP BIOL MED</t>
  </si>
  <si>
    <t>EXP BRAIN RES</t>
  </si>
  <si>
    <t>EXP CELL RES</t>
  </si>
  <si>
    <t>EXP CLIN ENDOCR DIAB</t>
  </si>
  <si>
    <t>EXP CLIN PSYCHOPHARM</t>
  </si>
  <si>
    <t>EXP DERMATOL</t>
  </si>
  <si>
    <t>EXP EYE RES</t>
  </si>
  <si>
    <t>EXP FLUIDS</t>
  </si>
  <si>
    <t>EXP GERONTOL</t>
  </si>
  <si>
    <t>EXP HEAT TRANSFER</t>
  </si>
  <si>
    <t>EXP HEMATOL</t>
  </si>
  <si>
    <t>EXP LUNG RES</t>
  </si>
  <si>
    <t>EXP MOL MED</t>
  </si>
  <si>
    <t>EXP MOL PATHOL</t>
  </si>
  <si>
    <t>EXP NEUROL</t>
  </si>
  <si>
    <t>EXP PARASITOL</t>
  </si>
  <si>
    <t>EXP PHYSIOL</t>
  </si>
  <si>
    <t>EXP TECHNIQUES</t>
  </si>
  <si>
    <t>EXP THERM FLUID SCI</t>
  </si>
  <si>
    <t>EXPERT OPIN BIOL TH</t>
  </si>
  <si>
    <t>EXPERT OPIN INV DRUG</t>
  </si>
  <si>
    <t>EXPERT OPIN PHARMACO</t>
  </si>
  <si>
    <t>EXPERT OPIN THER PAT</t>
  </si>
  <si>
    <t>EXPERT OPIN THER TAR</t>
  </si>
  <si>
    <t>EXPERT REV MED DEVIC</t>
  </si>
  <si>
    <t>EXPERT REV MOL DIAGN</t>
  </si>
  <si>
    <t>EXPERT REV PROTEOMIC</t>
  </si>
  <si>
    <t>EXPLORE-NY</t>
  </si>
  <si>
    <t>EXTREMOPHILES</t>
  </si>
  <si>
    <t>EYE</t>
  </si>
  <si>
    <t>FAM MED</t>
  </si>
  <si>
    <t>FAM PRACT</t>
  </si>
  <si>
    <t>FASEB J</t>
  </si>
  <si>
    <t>FATIGUE FRACT ENG M</t>
  </si>
  <si>
    <t>FEBS J</t>
  </si>
  <si>
    <t>FEBS LETT</t>
  </si>
  <si>
    <t>FEMS MICROBIOL ECOL</t>
  </si>
  <si>
    <t>FEMS MICROBIOL LETT</t>
  </si>
  <si>
    <t>FEMS MICROBIOL REV</t>
  </si>
  <si>
    <t>FEMS YEAST RES</t>
  </si>
  <si>
    <t>FERTIL STERIL</t>
  </si>
  <si>
    <t>FETAL DIAGN THER</t>
  </si>
  <si>
    <t>FETAL PEDIATR PATHOL</t>
  </si>
  <si>
    <t>FIBER INTEGRATED OPT</t>
  </si>
  <si>
    <t>FIBRE CHEM+</t>
  </si>
  <si>
    <t>FINANC STOCH</t>
  </si>
  <si>
    <t>FISH PATHOL</t>
  </si>
  <si>
    <t>FISH PHYSIOL BIOCHEM</t>
  </si>
  <si>
    <t>FISH SHELLFISH IMMUN</t>
  </si>
  <si>
    <t>FITOTERAPIA</t>
  </si>
  <si>
    <t>FLOW MEAS INSTRUM</t>
  </si>
  <si>
    <t>FOLIA BIOL-KRAKOW</t>
  </si>
  <si>
    <t>FOLIA BIOL-PRAGUE</t>
  </si>
  <si>
    <t>FOLIA HISTOCHEM CYTO</t>
  </si>
  <si>
    <t>FOLIA MICROBIOL</t>
  </si>
  <si>
    <t>FOLIA NEUROPATHOL</t>
  </si>
  <si>
    <t>FOLIA PARASIT</t>
  </si>
  <si>
    <t>FOOD AGR IMMUNOL</t>
  </si>
  <si>
    <t>FOOD BIOPROD PROCESS</t>
  </si>
  <si>
    <t>FOOD BIOTECHNOL</t>
  </si>
  <si>
    <t>FOOD CHEM</t>
  </si>
  <si>
    <t>FOOD CHEM TOXICOL</t>
  </si>
  <si>
    <t>FOOD DRUG LAW J</t>
  </si>
  <si>
    <t>FOOD MICROBIOL</t>
  </si>
  <si>
    <t>FOOD POLICY</t>
  </si>
  <si>
    <t>FOOD REV INT</t>
  </si>
  <si>
    <t>APPL PHYSIOL NUTR ME</t>
  </si>
  <si>
    <t>APPL RADIAT ISOTOPES</t>
  </si>
  <si>
    <t>APPL STOCH MODEL BUS</t>
  </si>
  <si>
    <t>APPL THERM ENG</t>
  </si>
  <si>
    <t>AQUAT TOXICOL</t>
  </si>
  <si>
    <t>ARAB J SCI ENG</t>
  </si>
  <si>
    <t>ARCH BIOCHEM BIOPHYS</t>
  </si>
  <si>
    <t>ARCH BRONCONEUMOL</t>
  </si>
  <si>
    <t>ARCH CLIN NEUROPSYCH</t>
  </si>
  <si>
    <t>ARCH DERMATOL RES</t>
  </si>
  <si>
    <t>ARCH DIS CHILD</t>
  </si>
  <si>
    <t>ARCH DIS CHILD-FETAL</t>
  </si>
  <si>
    <t>ARCH ENVIRON CON TOX</t>
  </si>
  <si>
    <t>ARCH ENVIRON OCCUP H</t>
  </si>
  <si>
    <t>ARCH GERONTOL GERIAT</t>
  </si>
  <si>
    <t>ARCH HIST EXACT SCI</t>
  </si>
  <si>
    <t>ARCH IMMUNOL THER EX</t>
  </si>
  <si>
    <t>ARCH INSECT BIOCHEM</t>
  </si>
  <si>
    <t>ARCH ITAL BIOL</t>
  </si>
  <si>
    <t>ARCH MED RES</t>
  </si>
  <si>
    <t>ARCH MICROBIOL</t>
  </si>
  <si>
    <t>ARCH ORAL BIOL</t>
  </si>
  <si>
    <t>ARCH ORTHOP TRAUM SU</t>
  </si>
  <si>
    <t>ARCH PATHOL LAB MED</t>
  </si>
  <si>
    <t>ARCH PEDIATRIE</t>
  </si>
  <si>
    <t>ARCH PHARM</t>
  </si>
  <si>
    <t>APPL PHYS B-LASERS O</t>
  </si>
  <si>
    <t>BMC GASTROENTEROL</t>
  </si>
  <si>
    <t>BMC GENET</t>
  </si>
  <si>
    <t>BMC GENOMICS</t>
  </si>
  <si>
    <t>BMC HEALTH SERV RES</t>
  </si>
  <si>
    <t>BMC IMMUNOL</t>
  </si>
  <si>
    <t>BMC INFECT DIS</t>
  </si>
  <si>
    <t>BMC MICROBIOL</t>
  </si>
  <si>
    <t>BMC MOL BIOL</t>
  </si>
  <si>
    <t>BMC MUSCULOSKEL DIS</t>
  </si>
  <si>
    <t>BMC NEUROSCI</t>
  </si>
  <si>
    <t>BMC PUBLIC HEALTH</t>
  </si>
  <si>
    <t>BONE</t>
  </si>
  <si>
    <t>BONE MARROW TRANSPL</t>
  </si>
  <si>
    <t>BRAIN</t>
  </si>
  <si>
    <t>BRAIN BEHAV EVOLUT</t>
  </si>
  <si>
    <t>BRAIN BEHAV IMMUN</t>
  </si>
  <si>
    <t>BRAIN COGNITION</t>
  </si>
  <si>
    <t>BRAIN DEV-JPN</t>
  </si>
  <si>
    <t>BRAIN INJURY</t>
  </si>
  <si>
    <t>BRAIN LANG</t>
  </si>
  <si>
    <t>BRAIN PATHOL</t>
  </si>
  <si>
    <t>BRAIN RES</t>
  </si>
  <si>
    <t>BRAIN RES BULL</t>
  </si>
  <si>
    <t>BRAIN TOPOGR</t>
  </si>
  <si>
    <t>BRAZ ARCH BIOL TECHN</t>
  </si>
  <si>
    <t>BRAZ J MED BIOL RES</t>
  </si>
  <si>
    <t>BRAZ J MICROBIOL</t>
  </si>
  <si>
    <t>INT J ENVIRON AN CH</t>
  </si>
  <si>
    <t>INT J ENVIRON HEAL R</t>
  </si>
  <si>
    <t>INT J EPIDEMIOL</t>
  </si>
  <si>
    <t>INT J EXP PATHOL</t>
  </si>
  <si>
    <t>INT J FATIGUE</t>
  </si>
  <si>
    <t>INT J FOOD MICROBIOL</t>
  </si>
  <si>
    <t>INT J FOOD SCI NUTR</t>
  </si>
  <si>
    <t>INT J GAME THEORY</t>
  </si>
  <si>
    <t>INT J GERIATR PSYCH</t>
  </si>
  <si>
    <t>INT J GYNECOL CANCER</t>
  </si>
  <si>
    <t>INT J GYNECOL OBSTET</t>
  </si>
  <si>
    <t>INT J GYNECOL PATHOL</t>
  </si>
  <si>
    <t>INT J HEALTH SERV</t>
  </si>
  <si>
    <t>INT J HEAT FLUID FL</t>
  </si>
  <si>
    <t>INT J HEAT MASS TRAN</t>
  </si>
  <si>
    <t>INT J HEAVY VEH SYST</t>
  </si>
  <si>
    <t>INT J HEMATOL</t>
  </si>
  <si>
    <t>INT J HYG ENVIR HEAL</t>
  </si>
  <si>
    <t>INT J HYPERTHER</t>
  </si>
  <si>
    <t>INT J IMAG SYST TECH</t>
  </si>
  <si>
    <t>INT J IMMUNOGENET</t>
  </si>
  <si>
    <t>INT J IMMUNOPATH PH</t>
  </si>
  <si>
    <t>INT J IMPACT ENG</t>
  </si>
  <si>
    <t>INT J IMPOT RES</t>
  </si>
  <si>
    <t>INT J INFECT DIS</t>
  </si>
  <si>
    <t>INT J LEGAL MED</t>
  </si>
  <si>
    <t>INT J MACH TOOL MANU</t>
  </si>
  <si>
    <t>INT J MECH SCI</t>
  </si>
  <si>
    <t>INT J MED INFORM</t>
  </si>
  <si>
    <t>INT J MED MICROBIOL</t>
  </si>
  <si>
    <t>INT J MED ROBOT COMP</t>
  </si>
  <si>
    <t>INT J MOL MED</t>
  </si>
  <si>
    <t>INT J MOL SCI</t>
  </si>
  <si>
    <t>INT J NEUROPSYCHOPH</t>
  </si>
  <si>
    <t>INT J NEUROSCI</t>
  </si>
  <si>
    <t>INT J NURS STUD</t>
  </si>
  <si>
    <t>INT J OBESITY</t>
  </si>
  <si>
    <t>INT J OBSTET ANESTH</t>
  </si>
  <si>
    <t>INT J ONCOL</t>
  </si>
  <si>
    <t>INT J ORAL MAX IMPL</t>
  </si>
  <si>
    <t>INT J ORAL MAX SURG</t>
  </si>
  <si>
    <t>INT J PARASITOL</t>
  </si>
  <si>
    <t>INT J PEDIATR OTORHI</t>
  </si>
  <si>
    <t>INT J PEPT RES THER</t>
  </si>
  <si>
    <t>INT J PERIODONT REST</t>
  </si>
  <si>
    <t>INT J PHOTOENERGY</t>
  </si>
  <si>
    <t>INT J PLASTICITY</t>
  </si>
  <si>
    <t>INT J PRES VES PIP</t>
  </si>
  <si>
    <t>INT J PROSTHODONT</t>
  </si>
  <si>
    <t>INT J PSYCHIAT CLIN</t>
  </si>
  <si>
    <t>INT J PSYCHIAT MED</t>
  </si>
  <si>
    <t>INT J PSYCHOPHYSIOL</t>
  </si>
  <si>
    <t>INT J QUAL HEALTH C</t>
  </si>
  <si>
    <t>INT J RADIAT BIOL</t>
  </si>
  <si>
    <t>INT J RADIAT ONCOL</t>
  </si>
  <si>
    <t>INT J REFRIG</t>
  </si>
  <si>
    <t>INT J SPORT NUTR EXE</t>
  </si>
  <si>
    <t>INT J SPORT PSYCHOL</t>
  </si>
  <si>
    <t>INT J SPORTS MED</t>
  </si>
  <si>
    <t>INT J STD AIDS</t>
  </si>
  <si>
    <t>INT J SURG PATHOL</t>
  </si>
  <si>
    <t>INT J SYST EVOL MICR</t>
  </si>
  <si>
    <t>INT J TECHNOL ASSESS</t>
  </si>
  <si>
    <t>INT J TECHNOL DES ED</t>
  </si>
  <si>
    <t>INT J THERM SCI</t>
  </si>
  <si>
    <t>INT J TOXICOL</t>
  </si>
  <si>
    <t>INT J TUBERC LUNG D</t>
  </si>
  <si>
    <t>INT J UROL</t>
  </si>
  <si>
    <t>INT J VEHICLE DES</t>
  </si>
  <si>
    <t>INT J VITAM NUTR RES</t>
  </si>
  <si>
    <t>INT MICROBIOL</t>
  </si>
  <si>
    <t>INT ORTHOP</t>
  </si>
  <si>
    <t>INT PSYCHOGERIATR</t>
  </si>
  <si>
    <t>INT REV IMMUNOL</t>
  </si>
  <si>
    <t>INT REV NEUROBIOL</t>
  </si>
  <si>
    <t>INT STAT REV</t>
  </si>
  <si>
    <t>INT UROGYNECOL J</t>
  </si>
  <si>
    <t>INT UROL NEPHROL</t>
  </si>
  <si>
    <t>INTENS CARE MED</t>
  </si>
  <si>
    <t>INTERCIENCIA</t>
  </si>
  <si>
    <t>INTERDISCIPL SCI REV</t>
  </si>
  <si>
    <t>INTERN MED J</t>
  </si>
  <si>
    <t>INTERNAL MED</t>
  </si>
  <si>
    <t>INTERNIST</t>
  </si>
  <si>
    <t>INTERV NEURORADIOL</t>
  </si>
  <si>
    <t>INTERVIROLOGY</t>
  </si>
  <si>
    <t>INVERTEBR REPROD DEV</t>
  </si>
  <si>
    <t>INVEST NEW DRUG</t>
  </si>
  <si>
    <t>INVEST OPHTH VIS SCI</t>
  </si>
  <si>
    <t>INVEST RADIOL</t>
  </si>
  <si>
    <t>IRAN J CHEM CHEM ENG</t>
  </si>
  <si>
    <t>IRISH J MED SCI</t>
  </si>
  <si>
    <t>IRISH VET J</t>
  </si>
  <si>
    <t>ISIS</t>
  </si>
  <si>
    <t>ISOKINET EXERC SCI</t>
  </si>
  <si>
    <t>ISR J CHEM</t>
  </si>
  <si>
    <t>ISSUES SCI TECHNOL</t>
  </si>
  <si>
    <t>IUBMB LIFE</t>
  </si>
  <si>
    <t>J AAPOS</t>
  </si>
  <si>
    <t>J ACOUST SOC AM</t>
  </si>
  <si>
    <t>J ADHES DENT</t>
  </si>
  <si>
    <t>J ADOLESCENT HEALTH</t>
  </si>
  <si>
    <t>J ADV NURS</t>
  </si>
  <si>
    <t>J AEROSOL SCI</t>
  </si>
  <si>
    <t>J AFFECT DISORDERS</t>
  </si>
  <si>
    <t>J AGING PHYS ACTIV</t>
  </si>
  <si>
    <t>J AGR BIOL ENVIR ST</t>
  </si>
  <si>
    <t>J AGR ENVIRON ETHIC</t>
  </si>
  <si>
    <t>J ALLERGY CLIN IMMUN</t>
  </si>
  <si>
    <t>J ALTERN COMPLEM MED</t>
  </si>
  <si>
    <t>J ALZHEIMERS DIS</t>
  </si>
  <si>
    <t>J AM ACAD CHILD PSY</t>
  </si>
  <si>
    <t>J AM ACAD DERMATOL</t>
  </si>
  <si>
    <t>J AM ACAD ORTHOP SUR</t>
  </si>
  <si>
    <t>J AM ANIM HOSP ASSOC</t>
  </si>
  <si>
    <t>J AM ASSOC LAB ANIM</t>
  </si>
  <si>
    <t>J AM BOARD FAM MED</t>
  </si>
  <si>
    <t>CLIN NUTR</t>
  </si>
  <si>
    <t>CLIN OBSTET GYNECOL</t>
  </si>
  <si>
    <t>CLIN ONCOL-UK</t>
  </si>
  <si>
    <t>CLIN ORAL IMPLAN RES</t>
  </si>
  <si>
    <t>CLIN ORTHOP RELAT R</t>
  </si>
  <si>
    <t>CLIN PEDIATR</t>
  </si>
  <si>
    <t>CLIN PERINATOL</t>
  </si>
  <si>
    <t>CLIN PHARMACOKINET</t>
  </si>
  <si>
    <t>CLIN PHARMACOL THER</t>
  </si>
  <si>
    <t>CLIN PHYSIOL FUNCT I</t>
  </si>
  <si>
    <t>CLIN PLAST SURG</t>
  </si>
  <si>
    <t>CLIN RADIOL</t>
  </si>
  <si>
    <t>CLIN REHABIL</t>
  </si>
  <si>
    <t>CLIN RES CARDIOL</t>
  </si>
  <si>
    <t>CLIN REV ALLERG IMMU</t>
  </si>
  <si>
    <t>CLIN RHEUMATOL</t>
  </si>
  <si>
    <t>CLIN SCI</t>
  </si>
  <si>
    <t>CLIN SPORT MED</t>
  </si>
  <si>
    <t>CLIN THER</t>
  </si>
  <si>
    <t>CLIN TRANSPLANT</t>
  </si>
  <si>
    <t>CNS DRUGS</t>
  </si>
  <si>
    <t>CNS SPECTRUMS</t>
  </si>
  <si>
    <t>COGN BEHAV NEUROL</t>
  </si>
  <si>
    <t>COGN NEUROPSYCHOL</t>
  </si>
  <si>
    <t>COGNITIVE PSYCHOL</t>
  </si>
  <si>
    <t>COLLOID SURFACE B</t>
  </si>
  <si>
    <t>COMB CHEM HIGH T SCR</t>
  </si>
  <si>
    <t>COMB PROBAB COMPUT</t>
  </si>
  <si>
    <t>COMMUN SOIL SCI PLAN</t>
  </si>
  <si>
    <t>COMMUN STAT-SIMUL C</t>
  </si>
  <si>
    <t>COMMUN STAT-THEOR M</t>
  </si>
  <si>
    <t>COMMUNITY DENT ORAL</t>
  </si>
  <si>
    <t>COMP BIOCHEM PHYS A</t>
  </si>
  <si>
    <t>COMP BIOCHEM PHYS B</t>
  </si>
  <si>
    <t>COMP BIOCHEM PHYS C</t>
  </si>
  <si>
    <t>COMP BIOCHEM PHYS D</t>
  </si>
  <si>
    <t>Kurztitel</t>
  </si>
  <si>
    <t>ISSN</t>
  </si>
  <si>
    <t>IF</t>
  </si>
  <si>
    <t>Maximum Ranking</t>
  </si>
  <si>
    <t>AAPS J</t>
  </si>
  <si>
    <t>AAPS PHARMSCITECH</t>
  </si>
  <si>
    <t>ACAD EMERG MED</t>
  </si>
  <si>
    <t>ACAD MED</t>
  </si>
  <si>
    <t>ACAD RADIOL</t>
  </si>
  <si>
    <t>ACCOUNTS CHEM RES</t>
  </si>
  <si>
    <t>ACCREDIT QUAL ASSUR</t>
  </si>
  <si>
    <t>ACOUST PHYS+</t>
  </si>
  <si>
    <t>ACS CHEM BIOL</t>
  </si>
  <si>
    <t>ACSMS HEALTH FIT J</t>
  </si>
  <si>
    <t>ACTA ACUST UNITED AC</t>
  </si>
  <si>
    <t>ACTA ALIMENT HUNG</t>
  </si>
  <si>
    <t>ACTA ANAESTH SCAND</t>
  </si>
  <si>
    <t>ANESTHESIOLOGY</t>
  </si>
  <si>
    <t>ACTA BIOCH BIOPH SIN</t>
  </si>
  <si>
    <t>ACTA BIOCHIM POL</t>
  </si>
  <si>
    <t>ACTA BIOTHEOR</t>
  </si>
  <si>
    <t>ACTA CARDIOL</t>
  </si>
  <si>
    <t>ACTA CHIM SINICA</t>
  </si>
  <si>
    <t>ACTA CHIM SLOV</t>
  </si>
  <si>
    <t>ACTA CHIR BELG</t>
  </si>
  <si>
    <t>SURGERY</t>
  </si>
  <si>
    <t>ACTA CHROMATOGR</t>
  </si>
  <si>
    <t>ACTA CLIN BELG</t>
  </si>
  <si>
    <t>ACTA CRYSTALLOGR D</t>
  </si>
  <si>
    <t>ACTA CYTOL</t>
  </si>
  <si>
    <t>PATHOLOGY</t>
  </si>
  <si>
    <t>ACTA DERM-VENEREOL</t>
  </si>
  <si>
    <t>ACTA DIABETOL</t>
  </si>
  <si>
    <t>ACTA GASTRO-ENT BELG</t>
  </si>
  <si>
    <t>ACTA HAEMATOL-BASEL</t>
  </si>
  <si>
    <t>ACTA HISTOCHEM</t>
  </si>
  <si>
    <t>ACTA HISTOCHEM CYTOC</t>
  </si>
  <si>
    <t>ACTA MED OKAYAMA</t>
  </si>
  <si>
    <t>ACTA NEUROBIOL EXP</t>
  </si>
  <si>
    <t>ACTA NEUROCHIR</t>
  </si>
  <si>
    <t>ACTA NEUROL BELG</t>
  </si>
  <si>
    <t>ACTA NEUROL SCAND</t>
  </si>
  <si>
    <t>ACTA NEUROPATHOL</t>
  </si>
  <si>
    <t>ACTA NEUROPSYCHIATR</t>
  </si>
  <si>
    <t>PSYCHIATRY</t>
  </si>
  <si>
    <t>ACTA OBSTET GYN SCAN</t>
  </si>
  <si>
    <t>ACTA ODONTOL SCAND</t>
  </si>
  <si>
    <t>ACTA ONCOL</t>
  </si>
  <si>
    <t>OPHTHALMOLOGY</t>
  </si>
  <si>
    <t>ACTA ORTHOP</t>
  </si>
  <si>
    <t>ORTHOPEDICS</t>
  </si>
  <si>
    <t>ACTA OTO-LARYNGOL</t>
  </si>
  <si>
    <t>ACTA PAEDIATR</t>
  </si>
  <si>
    <t>PEDIATRICS</t>
  </si>
  <si>
    <t>ACTA PARASITOL</t>
  </si>
  <si>
    <t>PARASITOLOGY</t>
  </si>
  <si>
    <t>ACTA PHARMACOL SIN</t>
  </si>
  <si>
    <t>ACTA PHYSIOL</t>
  </si>
  <si>
    <t>PHYSIOLOGY</t>
  </si>
  <si>
    <t>ACTA PROTOZOOL</t>
  </si>
  <si>
    <t>ACTA PSYCHIAT SCAND</t>
  </si>
  <si>
    <t>ACTA RADIOL</t>
  </si>
  <si>
    <t>ACTA TROP</t>
  </si>
  <si>
    <t>ACTA VET BRNO</t>
  </si>
  <si>
    <t>ACTA VET HUNG</t>
  </si>
  <si>
    <t>ACTA VET SCAND</t>
  </si>
  <si>
    <t>ACTA VET-BEOGRAD</t>
  </si>
  <si>
    <t>ACTA VIROL</t>
  </si>
  <si>
    <t>VIROLOGY</t>
  </si>
  <si>
    <t>ACTAS ESP PSIQUIATRI</t>
  </si>
  <si>
    <t>ACUPUNCTURE ELECTRO</t>
  </si>
  <si>
    <t>ADAPT PHYS ACT Q</t>
  </si>
  <si>
    <t>ADDICT BIOL</t>
  </si>
  <si>
    <t>ADDICTION</t>
  </si>
  <si>
    <t>ADV ANAT EMBRYOL CEL</t>
  </si>
  <si>
    <t>ADV ANAT PATHOL</t>
  </si>
  <si>
    <t>ADV APPL MECH</t>
  </si>
  <si>
    <t>ADV APPL MICROBIOL</t>
  </si>
  <si>
    <t>ADV APPL PROBAB</t>
  </si>
  <si>
    <t>ADV BIOCHEM ENG BIOT</t>
  </si>
  <si>
    <t>ADV CANCER RES</t>
  </si>
  <si>
    <t>ADV CARBOHYD CHEM BI</t>
  </si>
  <si>
    <t>ADV CHRONIC KIDNEY D</t>
  </si>
  <si>
    <t>ADV CLIN CHEM</t>
  </si>
  <si>
    <t>ADV COMPLEX SYST</t>
  </si>
  <si>
    <t>ADV DRUG DELIVER REV</t>
  </si>
  <si>
    <t>ADV EXP MED BIOL</t>
  </si>
  <si>
    <t>ADV HEALTH SCI EDUC</t>
  </si>
  <si>
    <t>ADV HETEROCYCL CHEM</t>
  </si>
  <si>
    <t>ADV IMMUNOL</t>
  </si>
  <si>
    <t>IMMUNOLOGY</t>
  </si>
  <si>
    <t>ADV MATER</t>
  </si>
  <si>
    <t>ADV MICROB PHYSIOL</t>
  </si>
  <si>
    <t>ADV NURS SCI</t>
  </si>
  <si>
    <t>ADV ORGANOMET CHEM</t>
  </si>
  <si>
    <t>ADV PARASIT</t>
  </si>
  <si>
    <t>ADV PHYS ORG CHEM</t>
  </si>
  <si>
    <t>ADV PHYSIOL EDUC</t>
  </si>
  <si>
    <t>ADV SYNTH CATAL</t>
  </si>
  <si>
    <t>ADV THER</t>
  </si>
  <si>
    <t>ADV VIRUS RES</t>
  </si>
  <si>
    <t>AEROSOL SCI TECH</t>
  </si>
  <si>
    <t>AESTHET PLAST SURG</t>
  </si>
  <si>
    <t>AFINIDAD</t>
  </si>
  <si>
    <t>AGE AGEING</t>
  </si>
  <si>
    <t>AGEING RES REV</t>
  </si>
  <si>
    <t>AGING CELL</t>
  </si>
  <si>
    <t>AGING CLIN EXP RES</t>
  </si>
  <si>
    <t>AGING MENT HEALTH</t>
  </si>
  <si>
    <t>AGR HIST</t>
  </si>
  <si>
    <t>AGR HUM VALUES</t>
  </si>
  <si>
    <t>AIDS</t>
  </si>
  <si>
    <t>AIDS PATIENT CARE ST</t>
  </si>
  <si>
    <t>AIDS RES HUM RETROV</t>
  </si>
  <si>
    <t>AIDS REV</t>
  </si>
  <si>
    <t>AKTUEL RHEUMATOL</t>
  </si>
  <si>
    <t>RHEUMATOLOGY</t>
  </si>
  <si>
    <t>AKTUEL UROL</t>
  </si>
  <si>
    <t>ALCOHOL</t>
  </si>
  <si>
    <t>TOXICOLOGY</t>
  </si>
  <si>
    <t>DRY TECHNOL</t>
  </si>
  <si>
    <t>DYSPHAGIA</t>
  </si>
  <si>
    <t>EAR HEARING</t>
  </si>
  <si>
    <t>EARLY HUM DEV</t>
  </si>
  <si>
    <t>ECHOCARDIOGR-J CARD</t>
  </si>
  <si>
    <t>ECOL FOOD NUTR</t>
  </si>
  <si>
    <t>ECONOMETRICA</t>
  </si>
  <si>
    <t>ECOTOX ENVIRON SAFE</t>
  </si>
  <si>
    <t>ECOTOXICOLOGY</t>
  </si>
  <si>
    <t>EJSO-EUR J SURG ONC</t>
  </si>
  <si>
    <t>ACTA VETERINARIA-BEOGRAD</t>
  </si>
  <si>
    <t>ACTA VIROLOGICA</t>
  </si>
  <si>
    <t>ACTAS ESPANOLAS DE PSIQUIATRIA</t>
  </si>
  <si>
    <t>ACUPUNCTURE &amp; ELECTRO-THERAPEUTICS RESEARCH</t>
  </si>
  <si>
    <t>ADAPTED PHYSICAL ACTIVITY QUARTERLY</t>
  </si>
  <si>
    <t>ADDICTION BIOLOGY</t>
  </si>
  <si>
    <t>ADVANCES IN ANATOMIC PATHOLOGY</t>
  </si>
  <si>
    <t>ADVANCES IN APPLIED PROBABILITY</t>
  </si>
  <si>
    <t>ADVANCES IN CHRONIC KIDNEY DISEASE</t>
  </si>
  <si>
    <t>ADVANCES IN COMPLEX SYSTEMS</t>
  </si>
  <si>
    <t>ADVANCED DRUG DELIVERY REVIEWS</t>
  </si>
  <si>
    <t>ADVANCES IN HEALTH SCIENCES EDUCATION</t>
  </si>
  <si>
    <t>ADVANCED MATERIALS</t>
  </si>
  <si>
    <t>ADVANCES IN NURSING SCIENCE</t>
  </si>
  <si>
    <t>ADVANCES IN PHYSIOLOGY EDUCATION</t>
  </si>
  <si>
    <t>ADVANCED SYNTHESIS &amp; CATALYSIS</t>
  </si>
  <si>
    <t>ADVANCES IN THERAPY</t>
  </si>
  <si>
    <t>AEROSOL SCIENCE AND TECHNOLOGY</t>
  </si>
  <si>
    <t>AESTHETIC PLASTIC SURGERY</t>
  </si>
  <si>
    <t>AGE AND AGEING</t>
  </si>
  <si>
    <t>AGEING RESEARCH REVIEWS</t>
  </si>
  <si>
    <t>AGING CLINICAL AND EXPERIMENTAL RESEARCH</t>
  </si>
  <si>
    <t>AGING &amp; MENTAL HEALTH</t>
  </si>
  <si>
    <t>AGRICULTURAL HISTORY</t>
  </si>
  <si>
    <t>AGRICULTURE AND HUMAN VALUES</t>
  </si>
  <si>
    <t>AIDS PATIENT CARE AND STDS</t>
  </si>
  <si>
    <t>AIDS RESEARCH AND HUMAN RETROVIRUSES</t>
  </si>
  <si>
    <t>AIDS REVIEWS</t>
  </si>
  <si>
    <t>AKTUELLE RHEUMATOLOGIE</t>
  </si>
  <si>
    <t>AKTUELLE UROLOGIE</t>
  </si>
  <si>
    <t>ALDRICHIMICA ACTA</t>
  </si>
  <si>
    <t>ALIMENTARY PHARMACOLOGY &amp; THERAPEUTICS</t>
  </si>
  <si>
    <t>ALLERGY AND ASTHMA PROCEEDINGS</t>
  </si>
  <si>
    <t>ALZHEIMER DISEASE &amp; ASSOCIATED DISORDERS</t>
  </si>
  <si>
    <t>AMERICAN BIOLOGY TEACHER</t>
  </si>
  <si>
    <t>AMERICAN FAMILY PHYSICIAN</t>
  </si>
  <si>
    <t>AMERICAN HEART JOURNAL</t>
  </si>
  <si>
    <t>AMERICAN JOURNAL OF BIOETHICS</t>
  </si>
  <si>
    <t>AMERICAN JOURNAL OF CARDIOLOGY</t>
  </si>
  <si>
    <t>AMERICAN JOURNAL OF CHINESE MEDICINE</t>
  </si>
  <si>
    <t>AMERICAN JOURNAL OF CLINICAL DERMATOLOGY</t>
  </si>
  <si>
    <t>AMERICAN JOURNAL OF CLINICAL NUTRITION</t>
  </si>
  <si>
    <t>AMERICAN JOURNAL OF CLINICAL ONCOLOGY-CANCER CLINICAL TRIALS</t>
  </si>
  <si>
    <t>AMERICAN JOURNAL OF CLINICAL PATHOLOGY</t>
  </si>
  <si>
    <t>AMERICAN JOURNAL OF CRITICAL CARE</t>
  </si>
  <si>
    <t>AMERICAN JOURNAL OF DENTISTRY</t>
  </si>
  <si>
    <t>AMERICAN JOURNAL OF DERMATOPATHOLOGY</t>
  </si>
  <si>
    <t>AMERICAN JOURNAL OF EMERGENCY MEDICINE</t>
  </si>
  <si>
    <t>AMERICAN JOURNAL OF ENOLOGY AND VITICULTURE</t>
  </si>
  <si>
    <t>AMERICAN JOURNAL OF EPIDEMIOLOGY</t>
  </si>
  <si>
    <t>AMERICAN JOURNAL OF FORENSIC MEDICINE AND PATHOLOGY</t>
  </si>
  <si>
    <t>AMERICAN JOURNAL OF GASTROENTEROLOGY</t>
  </si>
  <si>
    <t>AMERICAN JOURNAL OF GERIATRIC PSYCHIATRY</t>
  </si>
  <si>
    <t>AMERICAN JOURNAL OF HEALTH-SYSTEM PHARMACY</t>
  </si>
  <si>
    <t>AMERICAN JOURNAL OF HEMATOLOGY</t>
  </si>
  <si>
    <t>AMERICAN JOURNAL OF HUMAN BIOLOGY</t>
  </si>
  <si>
    <t>AMERICAN JOURNAL OF HUMAN GENETICS</t>
  </si>
  <si>
    <t>AMERICAN JOURNAL OF HYPERTENSION</t>
  </si>
  <si>
    <t>AMERICAN JOURNAL OF INDUSTRIAL MEDICINE</t>
  </si>
  <si>
    <t>AMERICAN JOURNAL OF INFECTION CONTROL</t>
  </si>
  <si>
    <t>AMERICAN JOURNAL OF KIDNEY DISEASES</t>
  </si>
  <si>
    <t>AMERICAN JOURNAL OF MANAGED CARE</t>
  </si>
  <si>
    <t>AMERICAN JOURNAL OF MEDICINE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</si>
  <si>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</si>
  <si>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</si>
  <si>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</si>
  <si>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J NEUROENDOCRINOL</t>
  </si>
  <si>
    <t>J NEUROGENET</t>
  </si>
  <si>
    <t>J NEUROIMAGING</t>
  </si>
  <si>
    <t>J NEUROIMMUNOL</t>
  </si>
  <si>
    <t>J NEUROL</t>
  </si>
  <si>
    <t>J NEUROL NEUROSUR PS</t>
  </si>
  <si>
    <t>J NEUROL SCI</t>
  </si>
  <si>
    <t>J NEUROLINGUIST</t>
  </si>
  <si>
    <t>J NEURO-ONCOL</t>
  </si>
  <si>
    <t>J NEURO-OPHTHALMOL</t>
  </si>
  <si>
    <t>J NEUROPATH EXP NEUR</t>
  </si>
  <si>
    <t>J NEUROPHYSIOL</t>
  </si>
  <si>
    <t>J NEUROPSYCH CLIN N</t>
  </si>
  <si>
    <t>J NEURORADIOLOGY</t>
  </si>
  <si>
    <t>J NEUROSCI</t>
  </si>
  <si>
    <t>J NEUROSCI METH</t>
  </si>
  <si>
    <t>J NEUROSCI RES</t>
  </si>
  <si>
    <t>J NEUROSURG</t>
  </si>
  <si>
    <t>J NEUROSURG ANESTH</t>
  </si>
  <si>
    <t>J NEUROSURG-SPINE</t>
  </si>
  <si>
    <t>J NEUROTRAUM</t>
  </si>
  <si>
    <t>J NEUROVIROL</t>
  </si>
  <si>
    <t>J NONLINEAR OPT PHYS</t>
  </si>
  <si>
    <t>J NONPARAMETR STAT</t>
  </si>
  <si>
    <t>J NUCL CARDIOL</t>
  </si>
  <si>
    <t>J NUCL MED</t>
  </si>
  <si>
    <t>J NURS ADMIN</t>
  </si>
  <si>
    <t>J NURS CARE QUAL</t>
  </si>
  <si>
    <t>J NURS EDUC</t>
  </si>
  <si>
    <t>J NURS SCHOLARSHIP</t>
  </si>
  <si>
    <t>J NUTR</t>
  </si>
  <si>
    <t>J NUTR BIOCHEM</t>
  </si>
  <si>
    <t>J NUTR EDUC BEHAV</t>
  </si>
  <si>
    <t>J NUTR SCI VITAMINOL</t>
  </si>
  <si>
    <t>J OBSTET GYNAECOL RE</t>
  </si>
  <si>
    <t>J OCCUP ENVIRON HYG</t>
  </si>
  <si>
    <t>J OCCUP ENVIRON MED</t>
  </si>
  <si>
    <t>J OCCUP HEALTH</t>
  </si>
  <si>
    <t>J OCUL PHARMACOL TH</t>
  </si>
  <si>
    <t>J OFFSHORE MECH ARCT</t>
  </si>
  <si>
    <t>J OPT SOC AM A</t>
  </si>
  <si>
    <t>J OPT SOC AM B</t>
  </si>
  <si>
    <t>J OPT TECHNOL+</t>
  </si>
  <si>
    <t>J OPTOELECTRON ADV M</t>
  </si>
  <si>
    <t>J ORAL MAXIL SURG</t>
  </si>
  <si>
    <t>J ORAL PATHOL MED</t>
  </si>
  <si>
    <t>J ORAL REHABIL</t>
  </si>
  <si>
    <t>J ORG CHEM</t>
  </si>
  <si>
    <t>J ORGANOMET CHEM</t>
  </si>
  <si>
    <t>J ORTHOP RES</t>
  </si>
  <si>
    <t>J ORTHOP SCI</t>
  </si>
  <si>
    <t>J ORTHOP SPORT PHYS</t>
  </si>
  <si>
    <t>J ORTHOP TRAUMA</t>
  </si>
  <si>
    <t>J PAEDIATR CHILD H</t>
  </si>
  <si>
    <t>J PAIN</t>
  </si>
  <si>
    <t>J PAIN SYMPTOM MANAG</t>
  </si>
  <si>
    <t>J PALLIAT CARE</t>
  </si>
  <si>
    <t>J PARASITOL</t>
  </si>
  <si>
    <t>J PATHOL</t>
  </si>
  <si>
    <t>J PEDIAT HEMATOL ONC</t>
  </si>
  <si>
    <t>J PEDIAT OPHTH STRAB</t>
  </si>
  <si>
    <t>J PEDIATR ENDOCR MET</t>
  </si>
  <si>
    <t>J PEDIATR GASTR NUTR</t>
  </si>
  <si>
    <t>J PEDIATR ORTHOP B</t>
  </si>
  <si>
    <t>J PEDIATR ORTHOPED</t>
  </si>
  <si>
    <t>J PEDIATR SURG</t>
  </si>
  <si>
    <t>J PEPT SCI</t>
  </si>
  <si>
    <t>J PERINAT MED</t>
  </si>
  <si>
    <t>J PERINAT NEONAT NUR</t>
  </si>
  <si>
    <t>J PERIODONTAL RES</t>
  </si>
  <si>
    <t>J PERIODONTOL</t>
  </si>
  <si>
    <t>J PERIPHER NERV SYST</t>
  </si>
  <si>
    <t>J PHARM PHARM SCI</t>
  </si>
  <si>
    <t>J PHARM PHARMACOL</t>
  </si>
  <si>
    <t>J PHARM SCI-US</t>
  </si>
  <si>
    <t>J PHARMACEUT BIOMED</t>
  </si>
  <si>
    <t>J PHARMACOKINET PHAR</t>
  </si>
  <si>
    <t>J PHARMACOL EXP THER</t>
  </si>
  <si>
    <t>J PHARMACOL SCI</t>
  </si>
  <si>
    <t>J PHILOS SPORT</t>
  </si>
  <si>
    <t>J PHOTOCH PHOTOBIO B</t>
  </si>
  <si>
    <t>J PHYS B-AT MOL OPT</t>
  </si>
  <si>
    <t>J PHYS CHEM REF DATA</t>
  </si>
  <si>
    <t>J PHYS CHEM SOLIDS</t>
  </si>
  <si>
    <t>J PHYS ORG CHEM</t>
  </si>
  <si>
    <t>J PHYSIOL BIOCHEM</t>
  </si>
  <si>
    <t>J PHYSIOL PHARMACOL</t>
  </si>
  <si>
    <t>J PHYSIOL SCI</t>
  </si>
  <si>
    <t>J PHYSIOL-LONDON</t>
  </si>
  <si>
    <t>J PINEAL RES</t>
  </si>
  <si>
    <t>J PLANT BIOCHEM BIOT</t>
  </si>
  <si>
    <t>J PLAST RECONSTR AES</t>
  </si>
  <si>
    <t>J POROUS MEDIA</t>
  </si>
  <si>
    <t>J PORPHYR PHTHALOCYA</t>
  </si>
  <si>
    <t>J PRESS VESS-T ASME</t>
  </si>
  <si>
    <t>J PROF ISS ENG ED PR</t>
  </si>
  <si>
    <t>J PROF NURS</t>
  </si>
  <si>
    <t>J PROSTHET DENT</t>
  </si>
  <si>
    <t>J PROTEOME RES</t>
  </si>
  <si>
    <t>J PSYCHIATR NEUROSCI</t>
  </si>
  <si>
    <t>J PSYCHIATR RES</t>
  </si>
  <si>
    <t>J PSYCHOPHARMACOL</t>
  </si>
  <si>
    <t>J PSYCHOPHYSIOL</t>
  </si>
  <si>
    <t>J PSYCHOSOM OBST GYN</t>
  </si>
  <si>
    <t>J PSYCHOSOM RES</t>
  </si>
  <si>
    <t>J PUBLIC HEALTH DENT</t>
  </si>
  <si>
    <t>J PUBLIC HEALTH POL</t>
  </si>
  <si>
    <t>J QUAL TECHNOL</t>
  </si>
  <si>
    <t>J R SOC INTERFACE</t>
  </si>
  <si>
    <t>J R STAT SOC A STAT</t>
  </si>
  <si>
    <t>FOOD TECHNOL BIOTECH</t>
  </si>
  <si>
    <t>FOOT ANKLE INT</t>
  </si>
  <si>
    <t>FORENSIC SCI INT</t>
  </si>
  <si>
    <t>FORSCH INGENIEURWES</t>
  </si>
  <si>
    <t>FORTSCHR NEUROL PSYC</t>
  </si>
  <si>
    <t>FRACTALS</t>
  </si>
  <si>
    <t>FREE RADICAL BIO MED</t>
  </si>
  <si>
    <t>FREE RADICAL RES</t>
  </si>
  <si>
    <t>FRONT HORM RES</t>
  </si>
  <si>
    <t>FRONT NEUROENDOCRIN</t>
  </si>
  <si>
    <t>FUND CLIN PHARMACOL</t>
  </si>
  <si>
    <t>FUNGAL DIVERS</t>
  </si>
  <si>
    <t>FUNGAL GENET BIOL</t>
  </si>
  <si>
    <t>FUZZY SET SYST</t>
  </si>
  <si>
    <t>GAIT POSTURE</t>
  </si>
  <si>
    <t>GASTROENTEROL CLIN N</t>
  </si>
  <si>
    <t>GASTROENTEROLOGY</t>
  </si>
  <si>
    <t>GASTROINTEST ENDOSC</t>
  </si>
  <si>
    <t>GEBURTSH FRAUENHEILK</t>
  </si>
  <si>
    <t>GEMATOL TRANSFUZIOL</t>
  </si>
  <si>
    <t>GEN COMP ENDOCR</t>
  </si>
  <si>
    <t>GEN HOSP PSYCHIAT</t>
  </si>
  <si>
    <t>GEN PHYSIOL BIOPHYS</t>
  </si>
  <si>
    <t>GENE</t>
  </si>
  <si>
    <t>GENE CHROMOSOME CANC</t>
  </si>
  <si>
    <t>GENE DEV</t>
  </si>
  <si>
    <t>GENE EXPR PATTERNS</t>
  </si>
  <si>
    <t>GENE THER</t>
  </si>
  <si>
    <t>GENES BRAIN BEHAV</t>
  </si>
  <si>
    <t>GENES CELLS</t>
  </si>
  <si>
    <t>GENES GENET SYST</t>
  </si>
  <si>
    <t>GENES IMMUN</t>
  </si>
  <si>
    <t>GENESIS</t>
  </si>
  <si>
    <t>GENET EPIDEMIOL</t>
  </si>
  <si>
    <t>GENET MED</t>
  </si>
  <si>
    <t>GENET MOL BIOL</t>
  </si>
  <si>
    <t>GENET RES</t>
  </si>
  <si>
    <t>GENET SEL EVOL</t>
  </si>
  <si>
    <t>ARCH PHARM RES</t>
  </si>
  <si>
    <t>ARCH PHYS MED REHAB</t>
  </si>
  <si>
    <t>ARCH PSYCHIAT NURS</t>
  </si>
  <si>
    <t>ARCH TOXICOL</t>
  </si>
  <si>
    <t>ARCH VIROL</t>
  </si>
  <si>
    <t>ARCHAEOMETRY</t>
  </si>
  <si>
    <t>ARKIVOC</t>
  </si>
  <si>
    <t>ARQ BRAS MED VET ZOO</t>
  </si>
  <si>
    <t>ARQ NEURO-PSIQUIAT</t>
  </si>
  <si>
    <t>ARTERIOSCL THROM VAS</t>
  </si>
  <si>
    <t>ARTHRITIS RES THER</t>
  </si>
  <si>
    <t>ARTHROSCOPY</t>
  </si>
  <si>
    <t>ARTIF INTELL MED</t>
  </si>
  <si>
    <t>ARTIF ORGANS</t>
  </si>
  <si>
    <t>ASAIO J</t>
  </si>
  <si>
    <t>ASHRAE J</t>
  </si>
  <si>
    <t>ASIA PAC J CLIN NUTR</t>
  </si>
  <si>
    <t>ASIAN J ANDROL</t>
  </si>
  <si>
    <t>ASIAN PAC J ALLERGY</t>
  </si>
  <si>
    <t>ASSAY DRUG DEV TECHN</t>
  </si>
  <si>
    <t>ASTROBIOLOGY</t>
  </si>
  <si>
    <t>ATHEROSCLEROSIS</t>
  </si>
  <si>
    <t>ATLA-ALTERN LAB ANIM</t>
  </si>
  <si>
    <t>ATOMIZATION SPRAY</t>
  </si>
  <si>
    <t>AUDIOL NEURO-OTOL</t>
  </si>
  <si>
    <t>AURIS NASUS LARYNX</t>
  </si>
  <si>
    <t>AUST DENT J</t>
  </si>
  <si>
    <t>AUST J CHEM</t>
  </si>
  <si>
    <t>AUST NZ J OBSTET GYN</t>
  </si>
  <si>
    <t>AUST NZ J PSYCHIAT</t>
  </si>
  <si>
    <t>AUST NZ J PUBL HEAL</t>
  </si>
  <si>
    <t>AUST NZ J STAT</t>
  </si>
  <si>
    <t>AUST VET J</t>
  </si>
  <si>
    <t>AUTOIMMUN REV</t>
  </si>
  <si>
    <t>AUTOIMMUNITY</t>
  </si>
  <si>
    <t>AUTON NEUROSCI-BASIC</t>
  </si>
  <si>
    <t>AUTOPHAGY</t>
  </si>
  <si>
    <t>AVIAN DIS</t>
  </si>
  <si>
    <t>AVIAN PATHOL</t>
  </si>
  <si>
    <t>B ACAD NAT MED PARIS</t>
  </si>
  <si>
    <t>B CANCER</t>
  </si>
  <si>
    <t>B CHEM SOC ETHIOPIA</t>
  </si>
  <si>
    <t>B CHEM SOC JPN</t>
  </si>
  <si>
    <t>B ENVIRON CONTAM TOX</t>
  </si>
  <si>
    <t>B EXP BIOL MED+</t>
  </si>
  <si>
    <t>B HIST MED</t>
  </si>
  <si>
    <t>B MATH BIOL</t>
  </si>
  <si>
    <t>B WORLD HEALTH ORGAN</t>
  </si>
  <si>
    <t>BASIC CLIN PHARMACOL</t>
  </si>
  <si>
    <t>BASIC RES CARDIOL</t>
  </si>
  <si>
    <t>BBA-BIOENERGETICS</t>
  </si>
  <si>
    <t>BBA-BIOMEMBRANES</t>
  </si>
  <si>
    <t>BBA-GEN SUBJECTS</t>
  </si>
  <si>
    <t>BBA-MOL BASIS DIS</t>
  </si>
  <si>
    <t>BBA-MOL CELL BIOL L</t>
  </si>
  <si>
    <t>BBA-MOL CELL RES</t>
  </si>
  <si>
    <t>BBA-PROTEINS PROTEOM</t>
  </si>
  <si>
    <t>BBA-REV CANCER</t>
  </si>
  <si>
    <t>BEHAV BRAIN RES</t>
  </si>
  <si>
    <t>BEHAV BRAIN SCI</t>
  </si>
  <si>
    <t>BEHAV GENET</t>
  </si>
  <si>
    <t>BEHAV MED</t>
  </si>
  <si>
    <t>BEHAV NEUROL</t>
  </si>
  <si>
    <t>BEHAV NEUROSCI</t>
  </si>
  <si>
    <t>BEHAV PHARMACOL</t>
  </si>
  <si>
    <t>BEILSTEIN J ORG CHEM</t>
  </si>
  <si>
    <t>B-ENT</t>
  </si>
  <si>
    <t>BERL MUNCH TIERARZTL</t>
  </si>
  <si>
    <t>BERNOULLI</t>
  </si>
  <si>
    <t>BEST PRACT RES CL EN</t>
  </si>
  <si>
    <t>BEST PRACT RES CL GA</t>
  </si>
  <si>
    <t>BEST PRACT RES CL HA</t>
  </si>
  <si>
    <t>BEST PRACT RES CL OB</t>
  </si>
  <si>
    <t>BEST PRACT RES CL RH</t>
  </si>
  <si>
    <t>BIOCATAL BIOTRANSFOR</t>
  </si>
  <si>
    <t>BIOCELL</t>
  </si>
  <si>
    <t>BIOCHEM BIOPH RES CO</t>
  </si>
  <si>
    <t>BIOCHEM CELL BIOL</t>
  </si>
  <si>
    <t>BIOCHEM ENG J</t>
  </si>
  <si>
    <t>BIOCHEM GENET</t>
  </si>
  <si>
    <t>BIOCHEM J</t>
  </si>
  <si>
    <t>BIOCHEM MOL BIOL EDU</t>
  </si>
  <si>
    <t>BIOCHEM PHARMACOL</t>
  </si>
  <si>
    <t>BIOCHEM SOC T</t>
  </si>
  <si>
    <t>BIOCHEM SYST ECOL</t>
  </si>
  <si>
    <t>BIOCHEMISTRY-MOSCOW+</t>
  </si>
  <si>
    <t>BIOCHEMISTRY-US</t>
  </si>
  <si>
    <t>BIOCHIMIE</t>
  </si>
  <si>
    <t>BIOCONJUGATE CHEM</t>
  </si>
  <si>
    <t>BIOCONTROL SCI TECHN</t>
  </si>
  <si>
    <t>BIODEGRADATION</t>
  </si>
  <si>
    <t>BIODRUGS</t>
  </si>
  <si>
    <t>BIOELECTROCHEMISTRY</t>
  </si>
  <si>
    <t>BIOELECTROMAGNETICS</t>
  </si>
  <si>
    <t>BIOESSAYS</t>
  </si>
  <si>
    <t>BIOETHICS</t>
  </si>
  <si>
    <t>BIOFACTORS</t>
  </si>
  <si>
    <t>BIOFOULING</t>
  </si>
  <si>
    <t>BIOGERONTOLOGY</t>
  </si>
  <si>
    <t>BIOINFORMATICS</t>
  </si>
  <si>
    <t>BIOINORG CHEM APPL</t>
  </si>
  <si>
    <t>BIOL BLOOD MARROW TR</t>
  </si>
  <si>
    <t>BIOL BULL+</t>
  </si>
  <si>
    <t>BIOL BULL-US</t>
  </si>
  <si>
    <t>BIOL CELL</t>
  </si>
  <si>
    <t>BIOL CHEM</t>
  </si>
  <si>
    <t>BIOL CONTROL</t>
  </si>
  <si>
    <t>BIOL CYBERN</t>
  </si>
  <si>
    <t>BIOL MEMBRANY</t>
  </si>
  <si>
    <t>BIOL PHARM BULL</t>
  </si>
  <si>
    <t>BIOL PHILOS</t>
  </si>
  <si>
    <t>BIOL PSYCHIAT</t>
  </si>
  <si>
    <t>BIOL PSYCHOL</t>
  </si>
  <si>
    <t>BIOL REPROD</t>
  </si>
  <si>
    <t>BIOL RES</t>
  </si>
  <si>
    <t>BIOL REV</t>
  </si>
  <si>
    <t>BIOL RHYTHM RES</t>
  </si>
  <si>
    <t>BIOL SPORT</t>
  </si>
  <si>
    <t>BIOL TRACE ELEM RES</t>
  </si>
  <si>
    <t>BIOLOGIA</t>
  </si>
  <si>
    <t>BIOLOGICALS</t>
  </si>
  <si>
    <t>BIOMACROMOLECULES</t>
  </si>
  <si>
    <t>BIOMARKERS</t>
  </si>
  <si>
    <t>BIOMASS BIOENERG</t>
  </si>
  <si>
    <t>BIOMATERIALS</t>
  </si>
  <si>
    <t>BIOMED CHROMATOGR</t>
  </si>
  <si>
    <t>BIOMED ENVIRON SCI</t>
  </si>
  <si>
    <t>BIO-MED MATER ENG</t>
  </si>
  <si>
    <t>BIOMED MICRODEVICES</t>
  </si>
  <si>
    <t>BIOMED PHARMACOTHER</t>
  </si>
  <si>
    <t>BIOMED RES-TOKYO</t>
  </si>
  <si>
    <t>BIOMETALS</t>
  </si>
  <si>
    <t>BIOMETRICAL J</t>
  </si>
  <si>
    <t>BIOMETRICS</t>
  </si>
  <si>
    <t>BIOMETRIKA</t>
  </si>
  <si>
    <t>BIOORG CHEM</t>
  </si>
  <si>
    <t>BIOORG MED CHEM LETT</t>
  </si>
  <si>
    <t>BIOORGAN MED CHEM</t>
  </si>
  <si>
    <t>BIOPHARM DRUG DISPOS</t>
  </si>
  <si>
    <t>BIOPHARM INT</t>
  </si>
  <si>
    <t>BIOPHYS CHEM</t>
  </si>
  <si>
    <t>BIOPHYS J</t>
  </si>
  <si>
    <t>BIOPOLYMERS</t>
  </si>
  <si>
    <t>BIOPROC BIOSYST ENG</t>
  </si>
  <si>
    <t>BIORESOURCE TECHNOL</t>
  </si>
  <si>
    <t>BIORHEOLOGY</t>
  </si>
  <si>
    <t>BIOSCI BIOTECH BIOCH</t>
  </si>
  <si>
    <t>BIOSCIENCE</t>
  </si>
  <si>
    <t>BIOSCIENCE REP</t>
  </si>
  <si>
    <t>BIOSENS BIOELECTRON</t>
  </si>
  <si>
    <t>BIOSTATISTICS</t>
  </si>
  <si>
    <t>BIOSYSTEMS</t>
  </si>
  <si>
    <t>BIOTECH HISTOCHEM</t>
  </si>
  <si>
    <t>BIOTECHNIQUES</t>
  </si>
  <si>
    <t>BIOTECHNOL ADV</t>
  </si>
  <si>
    <t>BIOTECHNOL APPL BIOC</t>
  </si>
  <si>
    <t>BIOTECHNOL BIOENG</t>
  </si>
  <si>
    <t>BIOTECHNOL BIOPROC E</t>
  </si>
  <si>
    <t>BIOTECHNOL LAW REP</t>
  </si>
  <si>
    <t>BIOTECHNOL LETT</t>
  </si>
  <si>
    <t>BIOTECHNOL PROGR</t>
  </si>
  <si>
    <t>BIPOLAR DISORD</t>
  </si>
  <si>
    <t>BIRTH-ISS PERINAT C</t>
  </si>
  <si>
    <t>BJOG-INT J OBSTET GY</t>
  </si>
  <si>
    <t>BJU INT</t>
  </si>
  <si>
    <t>BLOOD</t>
  </si>
  <si>
    <t>BLOOD CELL MOL DIS</t>
  </si>
  <si>
    <t>BLOOD COAGUL FIBRIN</t>
  </si>
  <si>
    <t>BLOOD PRESS MONIT</t>
  </si>
  <si>
    <t>BLOOD PRESSURE</t>
  </si>
  <si>
    <t>BLOOD PURIFICAT</t>
  </si>
  <si>
    <t>BLOOD REV</t>
  </si>
  <si>
    <t>BMC BIOINFORMATICS</t>
  </si>
  <si>
    <t>BMC BIOTECHNOL</t>
  </si>
  <si>
    <t>BMC CANCER</t>
  </si>
  <si>
    <t>BMC CELL BIOL</t>
  </si>
  <si>
    <t>BMC DEV BIOL</t>
  </si>
  <si>
    <t>BMC EVOL BIOL</t>
  </si>
  <si>
    <t>IN VIVO</t>
  </si>
  <si>
    <t>IND HEALTH</t>
  </si>
  <si>
    <t>IND LUBR TRIBOL</t>
  </si>
  <si>
    <t>INDIAN J BIOCHEM BIO</t>
  </si>
  <si>
    <t>INDIAN J CHEM B</t>
  </si>
  <si>
    <t>INDIAN J HETEROCY CH</t>
  </si>
  <si>
    <t>INDIAN J MED RES</t>
  </si>
  <si>
    <t>INDOOR BUILT ENVIRON</t>
  </si>
  <si>
    <t>INFECT CONT HOSP EP</t>
  </si>
  <si>
    <t>INFECT DIS CLIN N AM</t>
  </si>
  <si>
    <t>INFECT IMMUN</t>
  </si>
  <si>
    <t>INFECTION</t>
  </si>
  <si>
    <t>INFIN DIMENS ANAL QU</t>
  </si>
  <si>
    <t>INFLAMM BOWEL DIS</t>
  </si>
  <si>
    <t>INFLAMM RES</t>
  </si>
  <si>
    <t>INFLAMMATION</t>
  </si>
  <si>
    <t>INFRARED PHYS TECHN</t>
  </si>
  <si>
    <t>INHAL TOXICOL</t>
  </si>
  <si>
    <t>INJURY</t>
  </si>
  <si>
    <t>INJURY PREV</t>
  </si>
  <si>
    <t>INQUIRY-J HEALTH CAR</t>
  </si>
  <si>
    <t>INSECT BIOCHEM MOLEC</t>
  </si>
  <si>
    <t>INSECT MOL BIOL</t>
  </si>
  <si>
    <t>INSTRUM SCI TECHNOL</t>
  </si>
  <si>
    <t>INSUR MATH ECON</t>
  </si>
  <si>
    <t>INT ANGIOL</t>
  </si>
  <si>
    <t>INT ARCH ALLERGY IMM</t>
  </si>
  <si>
    <t>INT ARCH OCC ENV HEA</t>
  </si>
  <si>
    <t>INT BIODETER BIODEGR</t>
  </si>
  <si>
    <t>INT CLIN PSYCHOPHARM</t>
  </si>
  <si>
    <t>INT DENT J</t>
  </si>
  <si>
    <t>INT ENDOD J</t>
  </si>
  <si>
    <t>INT HEART J</t>
  </si>
  <si>
    <t>INT IMMUNOL</t>
  </si>
  <si>
    <t>INT IMMUNOPHARMACOL</t>
  </si>
  <si>
    <t>INT J ANTIMICROB AG</t>
  </si>
  <si>
    <t>INT J ARTIF ORGANS</t>
  </si>
  <si>
    <t>INT J AUDIOL</t>
  </si>
  <si>
    <t>INT J BIFURCAT CHAOS</t>
  </si>
  <si>
    <t>INT J BIOCHEM CELL B</t>
  </si>
  <si>
    <t>INT J BIOL MACROMOL</t>
  </si>
  <si>
    <t>INT J BIOL MARKER</t>
  </si>
  <si>
    <t>INT J BIOMETEOROL</t>
  </si>
  <si>
    <t>INT J CANCER</t>
  </si>
  <si>
    <t>INT J CARDIOL</t>
  </si>
  <si>
    <t>INT J CARDIOVAS IMAG</t>
  </si>
  <si>
    <t>INT J CLIN PHARM TH</t>
  </si>
  <si>
    <t>INT J CLIN PRACT</t>
  </si>
  <si>
    <t>INT J COLORECTAL DIS</t>
  </si>
  <si>
    <t>INT J CRASHWORTHINES</t>
  </si>
  <si>
    <t>INT J DERMATOL</t>
  </si>
  <si>
    <t>INT J DEV BIOL</t>
  </si>
  <si>
    <t>INT J DEV NEUROSCI</t>
  </si>
  <si>
    <t>INT J EAT DISORDER</t>
  </si>
  <si>
    <t>INT J ELEC ENG EDUC</t>
  </si>
  <si>
    <t>MOTOR CONTROL</t>
  </si>
  <si>
    <t>MOVEMENT DISORD</t>
  </si>
  <si>
    <t>MULTIVAR BEHAV RES</t>
  </si>
  <si>
    <t>MUSCLE NERVE</t>
  </si>
  <si>
    <t>MUTAGENESIS</t>
  </si>
  <si>
    <t>MUTAT RES-FUND MOL M</t>
  </si>
  <si>
    <t>MUTAT RES-GEN TOX EN</t>
  </si>
  <si>
    <t>MUTAT RES-REV MUTAT</t>
  </si>
  <si>
    <t>MYCOLOGIA</t>
  </si>
  <si>
    <t>MYCOPATHOLOGIA</t>
  </si>
  <si>
    <t>MYCORRHIZA</t>
  </si>
  <si>
    <t>MYCOSES</t>
  </si>
  <si>
    <t>MYCOTAXON</t>
  </si>
  <si>
    <t>NANO LETT</t>
  </si>
  <si>
    <t>NANO TODAY</t>
  </si>
  <si>
    <t>NANOMEDICINE-UK</t>
  </si>
  <si>
    <t>NANOSC MICROSC THERM</t>
  </si>
  <si>
    <t>NAT BIOTECHNOL</t>
  </si>
  <si>
    <t>NAT CELL BIOL</t>
  </si>
  <si>
    <t>NAT CHEM BIOL</t>
  </si>
  <si>
    <t>NAT GENET</t>
  </si>
  <si>
    <t>NAT IMMUNOL</t>
  </si>
  <si>
    <t>NAT MED</t>
  </si>
  <si>
    <t>NAT METHODS</t>
  </si>
  <si>
    <t>NAT NEUROSCI</t>
  </si>
  <si>
    <t>NAT PROD REP</t>
  </si>
  <si>
    <t>NAT PROD RES</t>
  </si>
  <si>
    <t>NAT REV CANCER</t>
  </si>
  <si>
    <t>NAT REV DRUG DISCOV</t>
  </si>
  <si>
    <t>NAT REV GENET</t>
  </si>
  <si>
    <t>NAT REV IMMUNOL</t>
  </si>
  <si>
    <t>NAT REV MICROBIOL</t>
  </si>
  <si>
    <t>NAT REV MOL CELL BIO</t>
  </si>
  <si>
    <t>NAT REV NEUROSCI</t>
  </si>
  <si>
    <t>NAT STRUCT MOL BIOL</t>
  </si>
  <si>
    <t>NATL ACAD SCI LETT</t>
  </si>
  <si>
    <t>NATL MED J INDIA</t>
  </si>
  <si>
    <t>NATURE</t>
  </si>
  <si>
    <t>NEFROLOGIA</t>
  </si>
  <si>
    <t>NEOPLASIA</t>
  </si>
  <si>
    <t>NEOPLASMA</t>
  </si>
  <si>
    <t>NEPHROL DIAL TRANSPL</t>
  </si>
  <si>
    <t>NEPHROLOGY</t>
  </si>
  <si>
    <t>NERVENARZT</t>
  </si>
  <si>
    <t>NETH J MED</t>
  </si>
  <si>
    <t>NETWORK-COMP NEURAL</t>
  </si>
  <si>
    <t>NEURAL PROCESS LETT</t>
  </si>
  <si>
    <t>NEUROBIOL AGING</t>
  </si>
  <si>
    <t>NEUROBIOL DIS</t>
  </si>
  <si>
    <t>NEUROBIOL LEARN MEM</t>
  </si>
  <si>
    <t>NEUROCASE</t>
  </si>
  <si>
    <t>NEUROCHEM INT</t>
  </si>
  <si>
    <t>NEUROCHEM RES</t>
  </si>
  <si>
    <t>NEUROCHIRURGIE</t>
  </si>
  <si>
    <t>NEUROCIRUGIA</t>
  </si>
  <si>
    <t>NEUROCRIT CARE</t>
  </si>
  <si>
    <t>NEUROENDOCRINOL LETT</t>
  </si>
  <si>
    <t>NEUROENDOCRINOLOGY</t>
  </si>
  <si>
    <t>NEUROEPIDEMIOLOGY</t>
  </si>
  <si>
    <t>NEUROGASTROENT MOTIL</t>
  </si>
  <si>
    <t>NEUROGENETICS</t>
  </si>
  <si>
    <t>NEUROIMAG CLIN N AM</t>
  </si>
  <si>
    <t>NEUROIMMUNOMODULAT</t>
  </si>
  <si>
    <t>NEUROINFORMATICS</t>
  </si>
  <si>
    <t>NEUROL CLIN</t>
  </si>
  <si>
    <t>NEUROL INDIA</t>
  </si>
  <si>
    <t>NEUROL MED-CHIR</t>
  </si>
  <si>
    <t>NEUROL RES</t>
  </si>
  <si>
    <t>NEUROL SCI</t>
  </si>
  <si>
    <t>NEUROLOGIA</t>
  </si>
  <si>
    <t>NEUROLOGIST</t>
  </si>
  <si>
    <t>NEUROLOGY</t>
  </si>
  <si>
    <t>NEUROMODULATION</t>
  </si>
  <si>
    <t>NEUROMOL MED</t>
  </si>
  <si>
    <t>NEUROMUSCULAR DISORD</t>
  </si>
  <si>
    <t>NEURON</t>
  </si>
  <si>
    <t>NEURO-ONCOLOGY</t>
  </si>
  <si>
    <t>NEUROPATH APPL NEURO</t>
  </si>
  <si>
    <t>NEUROPATHOLOGY</t>
  </si>
  <si>
    <t>NEUROPEDIATRICS</t>
  </si>
  <si>
    <t>NEUROPEPTIDES</t>
  </si>
  <si>
    <t>NEUROPHARMACOLOGY</t>
  </si>
  <si>
    <t>NEUROPHYSIOL CLIN</t>
  </si>
  <si>
    <t>NEUROPSYCHOBIOLOGY</t>
  </si>
  <si>
    <t>NEUROPSYCHOL REHABIL</t>
  </si>
  <si>
    <t>NEUROPSYCHOL REV</t>
  </si>
  <si>
    <t>NEUROPSYCHOLOGIA</t>
  </si>
  <si>
    <t>NEUROPSYCHOLOGY</t>
  </si>
  <si>
    <t>NEUROPSYCHOPHARMACOL</t>
  </si>
  <si>
    <t>NEURORADIOLOGY</t>
  </si>
  <si>
    <t>NEUROREHAB NEURAL RE</t>
  </si>
  <si>
    <t>NEUROREPORT</t>
  </si>
  <si>
    <t>NEUROSCI BIOBEHAV R</t>
  </si>
  <si>
    <t>NEUROSCI LETT</t>
  </si>
  <si>
    <t>NEUROSCI RES</t>
  </si>
  <si>
    <t>NEUROSCIENCE</t>
  </si>
  <si>
    <t>NEUROSCIENTIST</t>
  </si>
  <si>
    <t>NEUROSURG CLIN N AM</t>
  </si>
  <si>
    <t>NEUROSURG REV</t>
  </si>
  <si>
    <t>NEUROSURGERY</t>
  </si>
  <si>
    <t>NEUROTOX RES</t>
  </si>
  <si>
    <t>NEUROTOXICOL TERATOL</t>
  </si>
  <si>
    <t>NEUROTOXICOLOGY</t>
  </si>
  <si>
    <t>NEUROUROL URODYNAM</t>
  </si>
  <si>
    <t>NEW ENGL J MED</t>
  </si>
  <si>
    <t>NEW GENET SOC</t>
  </si>
  <si>
    <t>NEW J CHEM</t>
  </si>
  <si>
    <t>NEW MICROBIOL</t>
  </si>
  <si>
    <t>NEW SCI</t>
  </si>
  <si>
    <t>NEW ZEAL VET J</t>
  </si>
  <si>
    <t>NICOTINE TOB RES</t>
  </si>
  <si>
    <t>NITRIC OXIDE-BIOL CH</t>
  </si>
  <si>
    <t>NMR BIOMED</t>
  </si>
  <si>
    <t>NOISE CONTROL ENG J</t>
  </si>
  <si>
    <t>NONLINEAR DYNAM</t>
  </si>
  <si>
    <t>NORD J PSYCHIAT</t>
  </si>
  <si>
    <t>N-S ARCH PHARMACOL</t>
  </si>
  <si>
    <t>NUCL MED BIOL</t>
  </si>
  <si>
    <t>NUCL MED COMMUN</t>
  </si>
  <si>
    <t>NUCLEIC ACIDS RES</t>
  </si>
  <si>
    <t>NUCLEOS NUCLEOT NUCL</t>
  </si>
  <si>
    <t>NUKLEARMED-NUCL MED</t>
  </si>
  <si>
    <t>NURS CLIN N AM</t>
  </si>
  <si>
    <t>NURS ECON</t>
  </si>
  <si>
    <t>NURS EDUC TODAY</t>
  </si>
  <si>
    <t>NURS ETHICS</t>
  </si>
  <si>
    <t>NURS OUTLOOK</t>
  </si>
  <si>
    <t>NURS RES</t>
  </si>
  <si>
    <t>NURS SCI QUART</t>
  </si>
  <si>
    <t>NUTR CANCER</t>
  </si>
  <si>
    <t>NUTR METAB CARDIOVAS</t>
  </si>
  <si>
    <t>NUTR NEUROSCI</t>
  </si>
  <si>
    <t>NUTR RES</t>
  </si>
  <si>
    <t>NUTR RES REV</t>
  </si>
  <si>
    <t>NUTR REV</t>
  </si>
  <si>
    <t>NUTRITION</t>
  </si>
  <si>
    <t>OBES SURG</t>
  </si>
  <si>
    <t>OBESITY</t>
  </si>
  <si>
    <t>OBSTET GYN CLIN N AM</t>
  </si>
  <si>
    <t>OBSTET GYNECOL</t>
  </si>
  <si>
    <t>OBSTET GYNECOL SURV</t>
  </si>
  <si>
    <t>OCCUP ENVIRON MED</t>
  </si>
  <si>
    <t>OCCUP MED-OXFORD</t>
  </si>
  <si>
    <t>OCUL IMMUNOL INFLAMM</t>
  </si>
  <si>
    <t>J AM CHEM SOC</t>
  </si>
  <si>
    <t>J AM COLL CARDIOL</t>
  </si>
  <si>
    <t>J AM COLL NUTR</t>
  </si>
  <si>
    <t>J AM COLL SURGEONS</t>
  </si>
  <si>
    <t>J AM DENT ASSOC</t>
  </si>
  <si>
    <t>J AM GERIATR SOC</t>
  </si>
  <si>
    <t>J AM MED INFORM ASSN</t>
  </si>
  <si>
    <t>J AM PODIAT MED ASSN</t>
  </si>
  <si>
    <t>J AM SOC BREW CHEM</t>
  </si>
  <si>
    <t>J AM SOC ECHOCARDIOG</t>
  </si>
  <si>
    <t>J AM SOC MASS SPECTR</t>
  </si>
  <si>
    <t>J AM SOC NEPHROL</t>
  </si>
  <si>
    <t>J AM STAT ASSOC</t>
  </si>
  <si>
    <t>J ANAL APPL PYROL</t>
  </si>
  <si>
    <t>J ANAL ATOM SPECTROM</t>
  </si>
  <si>
    <t>J ANAL CHEM+</t>
  </si>
  <si>
    <t>J ANAL TOXICOL</t>
  </si>
  <si>
    <t>J ANAT</t>
  </si>
  <si>
    <t>J ANIM PHYSIOL AN N</t>
  </si>
  <si>
    <t>J ANTIBIOT</t>
  </si>
  <si>
    <t>J ANTIMICROB CHEMOTH</t>
  </si>
  <si>
    <t>J AOAC INT</t>
  </si>
  <si>
    <t>J APPL BIOMECH</t>
  </si>
  <si>
    <t>J APPL MICROBIOL</t>
  </si>
  <si>
    <t>J APPL PHYCOL</t>
  </si>
  <si>
    <t>J APPL PHYSIOL</t>
  </si>
  <si>
    <t>J APPL PROBAB</t>
  </si>
  <si>
    <t>J APPL SPORT PSYCHOL</t>
  </si>
  <si>
    <t>J APPL STAT</t>
  </si>
  <si>
    <t>J APPL TOXICOL</t>
  </si>
  <si>
    <t>J AQUAT ANIM HEALTH</t>
  </si>
  <si>
    <t>J ARTHROPLASTY</t>
  </si>
  <si>
    <t>J ASIAN NAT PROD RES</t>
  </si>
  <si>
    <t>J ASSIST REPROD GEN</t>
  </si>
  <si>
    <t>J ASSOC NURSE AIDS C</t>
  </si>
  <si>
    <t>J ASTHMA</t>
  </si>
  <si>
    <t>J ATHL TRAINING</t>
  </si>
  <si>
    <t>J AUDIO ENG SOC</t>
  </si>
  <si>
    <t>J AUTOIMMUN</t>
  </si>
  <si>
    <t>COMP IMMUNOL MICROB</t>
  </si>
  <si>
    <t>COMP PARASITOL</t>
  </si>
  <si>
    <t>COMPARATIVE MED</t>
  </si>
  <si>
    <t>COMPLEMENT THER MED</t>
  </si>
  <si>
    <t>COMPLEXITY</t>
  </si>
  <si>
    <t>COMPR PSYCHIAT</t>
  </si>
  <si>
    <t>COMPUT APPL ENG EDUC</t>
  </si>
  <si>
    <t>COMPUT BIOL CHEM</t>
  </si>
  <si>
    <t>COMPUT BIOL MED</t>
  </si>
  <si>
    <t>COMPUT MED IMAG GRAP</t>
  </si>
  <si>
    <t>COMPUT METH PROG BIO</t>
  </si>
  <si>
    <t>COMPUT STAT DATA AN</t>
  </si>
  <si>
    <t>COMPUTATION STAT</t>
  </si>
  <si>
    <t>CONCEPT MAGN RESON A</t>
  </si>
  <si>
    <t>CONNECT TISSUE RES</t>
  </si>
  <si>
    <t>CONSERV GENET</t>
  </si>
  <si>
    <t>CONTACT DERMATITIS</t>
  </si>
  <si>
    <t>CONTEMP CLIN TRIALS</t>
  </si>
  <si>
    <t>CONTRACEPTION</t>
  </si>
  <si>
    <t>CONTRIB NEPHROL</t>
  </si>
  <si>
    <t>CORNEA</t>
  </si>
  <si>
    <t>CORONARY ARTERY DIS</t>
  </si>
  <si>
    <t>CORTEX</t>
  </si>
  <si>
    <t>CR BIOL</t>
  </si>
  <si>
    <t>CR CHIM</t>
  </si>
  <si>
    <t>CRANIO</t>
  </si>
  <si>
    <t>CRIT CARE</t>
  </si>
  <si>
    <t>CRIT CARE CLIN</t>
  </si>
  <si>
    <t>CRIT CARE MED</t>
  </si>
  <si>
    <t>CRIT REV ANAL CHEM</t>
  </si>
  <si>
    <t>CRIT REV BIOCHEM MOL</t>
  </si>
  <si>
    <t>CRIT REV BIOTECHNOL</t>
  </si>
  <si>
    <t>CRIT REV CL LAB SCI</t>
  </si>
  <si>
    <t>CRIT REV EUKAR GENE</t>
  </si>
  <si>
    <t>CRIT REV FOOD SCI</t>
  </si>
  <si>
    <t>CRIT REV IMMUNOL</t>
  </si>
  <si>
    <t>CRIT REV MICROBIOL</t>
  </si>
  <si>
    <t>CRIT REV ONCOL HEMAT</t>
  </si>
  <si>
    <t>CRIT REV THER DRUG</t>
  </si>
  <si>
    <t>CRIT REV TOXICOL</t>
  </si>
  <si>
    <t>CROAT CHEM ACTA</t>
  </si>
  <si>
    <t>CROAT MED J</t>
  </si>
  <si>
    <t>CRYOBIOLOGY</t>
  </si>
  <si>
    <t>CRYOLETTERS</t>
  </si>
  <si>
    <t>CRYPTOGAMIE MYCOL</t>
  </si>
  <si>
    <t>CRYST GROWTH DES</t>
  </si>
  <si>
    <t>CRYSTENGCOMM</t>
  </si>
  <si>
    <t>CURR ALLERGY ASTHM R</t>
  </si>
  <si>
    <t>CURR ANAL CHEM</t>
  </si>
  <si>
    <t>CURR BIOL</t>
  </si>
  <si>
    <t>CURR CANCER DRUG TAR</t>
  </si>
  <si>
    <t>CESK SLOV NEUROL N</t>
  </si>
  <si>
    <t>CHEM BIOCHEM ENG Q</t>
  </si>
  <si>
    <t>CHEM BIODIVERS</t>
  </si>
  <si>
    <t>CHEM BIOL DRUG DES</t>
  </si>
  <si>
    <t>CHEM COMMUN</t>
  </si>
  <si>
    <t>CHEM ENG NEWS</t>
  </si>
  <si>
    <t>CHEM J CHINESE U</t>
  </si>
  <si>
    <t>CHEM LETT</t>
  </si>
  <si>
    <t>CHEM LISTY</t>
  </si>
  <si>
    <t>CHEM NAT COMPD+</t>
  </si>
  <si>
    <t>CHEM PAP</t>
  </si>
  <si>
    <t>CHEM PHARM BULL</t>
  </si>
  <si>
    <t>CHEM PHYS LIPIDS</t>
  </si>
  <si>
    <t>CHEM REC</t>
  </si>
  <si>
    <t>CHEM RES CHINESE U</t>
  </si>
  <si>
    <t>CHEM RES TOXICOL</t>
  </si>
  <si>
    <t>CHEM REV</t>
  </si>
  <si>
    <t>CHEM SENSES</t>
  </si>
  <si>
    <t>CHEM SOC REV</t>
  </si>
  <si>
    <t>CHEM UNSERER ZEIT</t>
  </si>
  <si>
    <t>CHEMBIOCHEM</t>
  </si>
  <si>
    <t>CHEM-BIOL INTERACT</t>
  </si>
  <si>
    <t>CHEM-EUR J</t>
  </si>
  <si>
    <t>CHEMOECOLOGY</t>
  </si>
  <si>
    <t>CHEMOMETR INTELL LAB</t>
  </si>
  <si>
    <t>CHEMOTHERAPY</t>
  </si>
  <si>
    <t>CHEST</t>
  </si>
  <si>
    <t>CHILD CARE HLTH DEV</t>
  </si>
  <si>
    <t>CHILD NERV SYST</t>
  </si>
  <si>
    <t>CHILD NEUROPSYCHOL</t>
  </si>
  <si>
    <t>CHILD PSYCHIAT HUM D</t>
  </si>
  <si>
    <t>CHIMIA</t>
  </si>
  <si>
    <t>CHINA OCEAN ENG</t>
  </si>
  <si>
    <t>CHINESE CHEM LETT</t>
  </si>
  <si>
    <t>CHINESE J ANAL CHEM</t>
  </si>
  <si>
    <t>CHINESE J CHEM</t>
  </si>
  <si>
    <t>CHINESE J PHYSIOL</t>
  </si>
  <si>
    <t>CHINESE MED J-PEKING</t>
  </si>
  <si>
    <t>CHIRALITY</t>
  </si>
  <si>
    <t>CHIRURG</t>
  </si>
  <si>
    <t>CHROMATOGRAPHIA</t>
  </si>
  <si>
    <t>CHROMOSOMA</t>
  </si>
  <si>
    <t>CHROMOSOME RES</t>
  </si>
  <si>
    <t>CHRONOBIOL INT</t>
  </si>
  <si>
    <t>CIN-COMPUT INFORM NU</t>
  </si>
  <si>
    <t>CIRC J</t>
  </si>
  <si>
    <t>CIRC RES</t>
  </si>
  <si>
    <t>CIRCULATION</t>
  </si>
  <si>
    <t>CLEFT PALATE-CRAN J</t>
  </si>
  <si>
    <t>CLEV CLIN J MED</t>
  </si>
  <si>
    <t>CLIMACTERIC</t>
  </si>
  <si>
    <t>CLIN ANAT</t>
  </si>
  <si>
    <t>CLIN APPL THROMB-HEM</t>
  </si>
  <si>
    <t>CLIN AUTON RES</t>
  </si>
  <si>
    <t>CLIN BIOCHEM</t>
  </si>
  <si>
    <t>CLIN BIOMECH</t>
  </si>
  <si>
    <t>CLIN CANCER RES</t>
  </si>
  <si>
    <t>CLIN CARDIOL</t>
  </si>
  <si>
    <t>CLIN CHEM</t>
  </si>
  <si>
    <t>CLIN CHEM LAB MED</t>
  </si>
  <si>
    <t>CLIN CHEST MED</t>
  </si>
  <si>
    <t>CLIN CHIM ACTA</t>
  </si>
  <si>
    <t>CLIN DERMATOL</t>
  </si>
  <si>
    <t>CLIN DRUG INVEST</t>
  </si>
  <si>
    <t>CLIN DYSMORPHOL</t>
  </si>
  <si>
    <t>CLIN EEG NEUROSCI</t>
  </si>
  <si>
    <t>CLIN ENDOCRINOL</t>
  </si>
  <si>
    <t>CLIN EXP ALLERGY</t>
  </si>
  <si>
    <t>CLIN EXP DERMATOL</t>
  </si>
  <si>
    <t>CLIN EXP HYPERTENS</t>
  </si>
  <si>
    <t>CLIN EXP IMMUNOL</t>
  </si>
  <si>
    <t>CLIN EXP MED</t>
  </si>
  <si>
    <t>CLIN EXP METASTAS</t>
  </si>
  <si>
    <t>CLIN EXP OPHTHALMOL</t>
  </si>
  <si>
    <t>CLIN EXP PHARMACOL P</t>
  </si>
  <si>
    <t>CLIN EXP RHEUMATOL</t>
  </si>
  <si>
    <t>DEV BIOL</t>
  </si>
  <si>
    <t>DEV CELL</t>
  </si>
  <si>
    <t>DEV COMP IMMUNOL</t>
  </si>
  <si>
    <t>DEV DYNAM</t>
  </si>
  <si>
    <t>DEV GENES EVOL</t>
  </si>
  <si>
    <t>DEV GROWTH DIFFER</t>
  </si>
  <si>
    <t>DEV MED CHILD NEUROL</t>
  </si>
  <si>
    <t>DEV NEUROPSYCHOL</t>
  </si>
  <si>
    <t>DEV NEUROSCI-BASEL</t>
  </si>
  <si>
    <t>DEV PSYCHOBIOL</t>
  </si>
  <si>
    <t>DEVELOPMENT</t>
  </si>
  <si>
    <t>DIABETES</t>
  </si>
  <si>
    <t>DIABETES CARE</t>
  </si>
  <si>
    <t>DIABETES EDUCATOR</t>
  </si>
  <si>
    <t>DIABETES METAB</t>
  </si>
  <si>
    <t>DIABETES OBES METAB</t>
  </si>
  <si>
    <t>DIABETES RES CLIN PR</t>
  </si>
  <si>
    <t>DIABETES-METAB RES</t>
  </si>
  <si>
    <t>DIABETIC MED</t>
  </si>
  <si>
    <t>DIABETOLOGIA</t>
  </si>
  <si>
    <t>DIAGN CYTOPATHOL</t>
  </si>
  <si>
    <t>DIAGN MICR INFEC DIS</t>
  </si>
  <si>
    <t>DIFFERENTIATION</t>
  </si>
  <si>
    <t>DIGEST DIS</t>
  </si>
  <si>
    <t>DIGEST DIS SCI</t>
  </si>
  <si>
    <t>DIGEST LIVER DIS</t>
  </si>
  <si>
    <t>DIGEST SURG</t>
  </si>
  <si>
    <t>DIS AQUAT ORGAN</t>
  </si>
  <si>
    <t>DIS COLON RECTUM</t>
  </si>
  <si>
    <t>DIS ESOPHAGUS</t>
  </si>
  <si>
    <t>DIS MARKERS</t>
  </si>
  <si>
    <t>DISABIL REHABIL</t>
  </si>
  <si>
    <t>DISCRETE DYN NAT SOC</t>
  </si>
  <si>
    <t>DISPLAYS</t>
  </si>
  <si>
    <t>DM-DIS MON</t>
  </si>
  <si>
    <t>DNA CELL BIOL</t>
  </si>
  <si>
    <t>DNA REPAIR</t>
  </si>
  <si>
    <t>DNA RES</t>
  </si>
  <si>
    <t>DOC OPHTHALMOL</t>
  </si>
  <si>
    <t>DOKL CHEM</t>
  </si>
  <si>
    <t>DOMEST ANIM ENDOCRIN</t>
  </si>
  <si>
    <t>DRUG AGING</t>
  </si>
  <si>
    <t>DRUG ALCOHOL DEPEN</t>
  </si>
  <si>
    <t>DRUG CHEM TOXICOL</t>
  </si>
  <si>
    <t>DRUG DELIV</t>
  </si>
  <si>
    <t>DRUG DEV IND PHARM</t>
  </si>
  <si>
    <t>DRUG DEVELOP RES</t>
  </si>
  <si>
    <t>DRUG DISCOV TODAY</t>
  </si>
  <si>
    <t>DRUG FUTURE</t>
  </si>
  <si>
    <t>DRUG METAB DISPOS</t>
  </si>
  <si>
    <t>DRUG METAB REV</t>
  </si>
  <si>
    <t>DRUG RESIST UPDATE</t>
  </si>
  <si>
    <t>DRUG SAFETY</t>
  </si>
  <si>
    <t>DRUGS</t>
  </si>
  <si>
    <t>J HEAT TRANS-T ASME</t>
  </si>
  <si>
    <t>J HELMINTHOL</t>
  </si>
  <si>
    <t>J HEPATOL</t>
  </si>
  <si>
    <t>J HERED</t>
  </si>
  <si>
    <t>J HETEROCYCLIC CHEM</t>
  </si>
  <si>
    <t>J HIST ASTRON</t>
  </si>
  <si>
    <t>J HIST BIOL</t>
  </si>
  <si>
    <t>J HIST MED ALL SCI</t>
  </si>
  <si>
    <t>J HISTOCHEM CYTOCHEM</t>
  </si>
  <si>
    <t>J HISTOTECHNOL</t>
  </si>
  <si>
    <t>J HOSP INFECT</t>
  </si>
  <si>
    <t>J HUM GENET</t>
  </si>
  <si>
    <t>J HUM HYPERTENS</t>
  </si>
  <si>
    <t>J HUM LACT</t>
  </si>
  <si>
    <t>J HUM NUTR DIET</t>
  </si>
  <si>
    <t>J HYPERTENS</t>
  </si>
  <si>
    <t>J IMMUNOL</t>
  </si>
  <si>
    <t>J IMMUNOL METHODS</t>
  </si>
  <si>
    <t>J IMMUNOTHER</t>
  </si>
  <si>
    <t>J INCL PHENOM MACRO</t>
  </si>
  <si>
    <t>J IND ENG CHEM</t>
  </si>
  <si>
    <t>J IND MICROBIOL BIOT</t>
  </si>
  <si>
    <t>J INFECT DIS</t>
  </si>
  <si>
    <t>J INFECTION</t>
  </si>
  <si>
    <t>J INHERIT METAB DIS</t>
  </si>
  <si>
    <t>J INORG BIOCHEM</t>
  </si>
  <si>
    <t>J INSECT PHYSIOL</t>
  </si>
  <si>
    <t>J INT MED RES</t>
  </si>
  <si>
    <t>J INT NEUROPSYCH SOC</t>
  </si>
  <si>
    <t>J INTEGR PLANT BIOL</t>
  </si>
  <si>
    <t>J INTELL DISABIL RES</t>
  </si>
  <si>
    <t>J INTERF CYTOK RES</t>
  </si>
  <si>
    <t>J INTERN MED</t>
  </si>
  <si>
    <t>J INTERV CARD ELECTR</t>
  </si>
  <si>
    <t>J INVEST ALLERG CLIN</t>
  </si>
  <si>
    <t>J INVEST DERMATOL</t>
  </si>
  <si>
    <t>J INVEST MED</t>
  </si>
  <si>
    <t>J INVEST SURG</t>
  </si>
  <si>
    <t>J IRAN CHEM SOC</t>
  </si>
  <si>
    <t>J KOREAN MED SCI</t>
  </si>
  <si>
    <t>J LABELLED COMPD RAD</t>
  </si>
  <si>
    <t>J LAPAROENDOSC ADV S</t>
  </si>
  <si>
    <t>J LARYNGOL OTOL</t>
  </si>
  <si>
    <t>J LASER APPL</t>
  </si>
  <si>
    <t>J LAW MED ETHICS</t>
  </si>
  <si>
    <t>J LEUKOCYTE BIOL</t>
  </si>
  <si>
    <t>J LIGHTWAVE TECHNOL</t>
  </si>
  <si>
    <t>J LIPID RES</t>
  </si>
  <si>
    <t>J LIPOSOME RES</t>
  </si>
  <si>
    <t>J LIQ CHROMATOGR R T</t>
  </si>
  <si>
    <t>J LOW FREQ NOISE V A</t>
  </si>
  <si>
    <t>J LUMIN</t>
  </si>
  <si>
    <t>J MAGN RESON</t>
  </si>
  <si>
    <t>J MAGN RESON IMAGING</t>
  </si>
  <si>
    <t>J MAMMARY GLAND BIOL</t>
  </si>
  <si>
    <t>J MANIP PHYSIOL THER</t>
  </si>
  <si>
    <t>J MANUF SCI E-T ASME</t>
  </si>
  <si>
    <t>J MASS SPECTROM</t>
  </si>
  <si>
    <t>J MATER SCI-MATER M</t>
  </si>
  <si>
    <t>J MATH BIOL</t>
  </si>
  <si>
    <t>J MATH CHEM</t>
  </si>
  <si>
    <t>RESPIROLOGY</t>
  </si>
  <si>
    <t>RESTOR NEUROL NEUROS</t>
  </si>
  <si>
    <t>RESUSCITATION</t>
  </si>
  <si>
    <t>RETINA-J RET VIT DIS</t>
  </si>
  <si>
    <t>REV ANAL CHEM</t>
  </si>
  <si>
    <t>REV BIOL TROP</t>
  </si>
  <si>
    <t>REV BRAS ZOOTECN</t>
  </si>
  <si>
    <t>REV CIENT-FAC CIEN V</t>
  </si>
  <si>
    <t>REV CLIN ESP</t>
  </si>
  <si>
    <t>REV ENDOCR METAB DIS</t>
  </si>
  <si>
    <t>REV ENVIRON CONTAM T</t>
  </si>
  <si>
    <t>REV EPIDEMIOL SANTE</t>
  </si>
  <si>
    <t>REV ESP CARDIOL</t>
  </si>
  <si>
    <t>REV ESP ENFERM DIG</t>
  </si>
  <si>
    <t>REV FR ALLERGOL</t>
  </si>
  <si>
    <t>REV INORG CHEM</t>
  </si>
  <si>
    <t>REV INVEST CLIN</t>
  </si>
  <si>
    <t>REV MAL RESPIR</t>
  </si>
  <si>
    <t>REV MED CHILE</t>
  </si>
  <si>
    <t>REV MED INTERNE</t>
  </si>
  <si>
    <t>REV MED VET-TOULOUSE</t>
  </si>
  <si>
    <t>REV MED VIROL</t>
  </si>
  <si>
    <t>REV NEUROL-FRANCE</t>
  </si>
  <si>
    <t>REV NEUROLOGIA</t>
  </si>
  <si>
    <t>REV PHYSIOL BIOCH P</t>
  </si>
  <si>
    <t>REV ROUM CHIM</t>
  </si>
  <si>
    <t>REV SCI TECH OIE</t>
  </si>
  <si>
    <t>RHEUM DIS CLIN N AM</t>
  </si>
  <si>
    <t>RHEUMATOL INT</t>
  </si>
  <si>
    <t>RHINOLOGY</t>
  </si>
  <si>
    <t>RNA</t>
  </si>
  <si>
    <t>ROFO-FORTSCHR RONTG</t>
  </si>
  <si>
    <t>RUSS CHEM B+</t>
  </si>
  <si>
    <t>RUSS J BIOORG CHEM+</t>
  </si>
  <si>
    <t>RUSS J GEN CHEM+</t>
  </si>
  <si>
    <t>RUSS J GENET+</t>
  </si>
  <si>
    <t>RUSS J ORG CHEM+</t>
  </si>
  <si>
    <t>S AFR J CHEM-S-AFR T</t>
  </si>
  <si>
    <t>S AFR J SCI</t>
  </si>
  <si>
    <t>S AFR J SURG</t>
  </si>
  <si>
    <t>SAMJ S AFR MED J</t>
  </si>
  <si>
    <t>SAR QSAR ENVIRON RES</t>
  </si>
  <si>
    <t>SARCOIDOSIS VASC DIF</t>
  </si>
  <si>
    <t>SAUDI MED J</t>
  </si>
  <si>
    <t>SCAND CARDIOVASC J</t>
  </si>
  <si>
    <t>SCAND J CLIN LAB INV</t>
  </si>
  <si>
    <t>SCAND J GASTROENTERO</t>
  </si>
  <si>
    <t>SCAND J IMMUNOL</t>
  </si>
  <si>
    <t>SCAND J LAB ANIM SCI</t>
  </si>
  <si>
    <t>SCAND J MED SCI SPOR</t>
  </si>
  <si>
    <t>SCAND J PRIM HEALTH</t>
  </si>
  <si>
    <t>SCAND J PUBLIC HEALT</t>
  </si>
  <si>
    <t>SCAND J RHEUMATOL</t>
  </si>
  <si>
    <t>SCAND J STAT</t>
  </si>
  <si>
    <t>SCAND J WORK ENV HEA</t>
  </si>
  <si>
    <t>SCANNING</t>
  </si>
  <si>
    <t>SCHIZOPHR RES</t>
  </si>
  <si>
    <t>SCHIZOPHRENIA BULL</t>
  </si>
  <si>
    <t>SCHMERZ</t>
  </si>
  <si>
    <t>SCHWEIZ ARCH TIERH</t>
  </si>
  <si>
    <t>SCI AM</t>
  </si>
  <si>
    <t>SCI CONTEXT</t>
  </si>
  <si>
    <t>SCI ENG ETHICS</t>
  </si>
  <si>
    <t>SCI JUSTICE</t>
  </si>
  <si>
    <t>SCI SPORT</t>
  </si>
  <si>
    <t>SCIENCE</t>
  </si>
  <si>
    <t>SCIENTIST</t>
  </si>
  <si>
    <t>SCOT MED J</t>
  </si>
  <si>
    <t>SEIZURE-EUR J EPILEP</t>
  </si>
  <si>
    <t>SEMIN ARTHRITIS RHEU</t>
  </si>
  <si>
    <t>SEMIN CANCER BIOL</t>
  </si>
  <si>
    <t>SEMIN CELL DEV BIOL</t>
  </si>
  <si>
    <t>SEMIN DIAGN PATHOL</t>
  </si>
  <si>
    <t>SEMIN DIALYSIS</t>
  </si>
  <si>
    <t>SEMIN HEMATOL</t>
  </si>
  <si>
    <t>SEMIN IMMUNOL</t>
  </si>
  <si>
    <t>SEMIN LIVER DIS</t>
  </si>
  <si>
    <t>SEMIN MUSCULOSKEL R</t>
  </si>
  <si>
    <t>SEMIN NEPHROL</t>
  </si>
  <si>
    <t>SEMIN NEUROL</t>
  </si>
  <si>
    <t>SEMIN NUCL MED</t>
  </si>
  <si>
    <t>SEMIN ONCOL</t>
  </si>
  <si>
    <t>SEMIN PERINATOL</t>
  </si>
  <si>
    <t>SEMIN RADIAT ONCOL</t>
  </si>
  <si>
    <t>SEMIN REPROD MED</t>
  </si>
  <si>
    <t>SEMIN RESP CRIT CARE</t>
  </si>
  <si>
    <t>SEMIN ROENTGENOL</t>
  </si>
  <si>
    <t>SEMIN THROMB HEMOST</t>
  </si>
  <si>
    <t>SEMIN ULTRASOUND CT</t>
  </si>
  <si>
    <t>SENSOR ACTUAT B-CHEM</t>
  </si>
  <si>
    <t>SENSORS-BASEL</t>
  </si>
  <si>
    <t>SEP PURIF REV</t>
  </si>
  <si>
    <t>SEP SCI TECHNOL</t>
  </si>
  <si>
    <t>SEX TRANSM DIS</t>
  </si>
  <si>
    <t>SEX TRANSM INFECT</t>
  </si>
  <si>
    <t>SHOCK</t>
  </si>
  <si>
    <t>SHOCK VIB</t>
  </si>
  <si>
    <t>SILVAE GENET</t>
  </si>
  <si>
    <t>SKELETAL RADIOL</t>
  </si>
  <si>
    <t>SKIN PHARMACOL PHYS</t>
  </si>
  <si>
    <t>SKIN RES TECHNOL</t>
  </si>
  <si>
    <t>SLEEP</t>
  </si>
  <si>
    <t>SLEEP MED</t>
  </si>
  <si>
    <t>SLEEP MED REV</t>
  </si>
  <si>
    <t>SMALL</t>
  </si>
  <si>
    <t>SMART STRUCT SYST</t>
  </si>
  <si>
    <t>SOC ANIM</t>
  </si>
  <si>
    <t>SOC HIST MED</t>
  </si>
  <si>
    <t>SOC STUD SCI</t>
  </si>
  <si>
    <t>SOCIOL SPORT J</t>
  </si>
  <si>
    <t>SOLVENT EXTR ION EXC</t>
  </si>
  <si>
    <t>SOLVENT EXTR RES DEV</t>
  </si>
  <si>
    <t>SOMATOSENS MOT RES</t>
  </si>
  <si>
    <t>SOUTH MED J</t>
  </si>
  <si>
    <t>J R STAT SOC B</t>
  </si>
  <si>
    <t>J R STAT SOC C-APPL</t>
  </si>
  <si>
    <t>J RADIAT RES</t>
  </si>
  <si>
    <t>J RADIOANAL NUCL CH</t>
  </si>
  <si>
    <t>J RADIOL PROT</t>
  </si>
  <si>
    <t>J RECONSTR MICROSURG</t>
  </si>
  <si>
    <t>J REFRACT SURG</t>
  </si>
  <si>
    <t>J REHABIL MED</t>
  </si>
  <si>
    <t>J RENAL NUTR</t>
  </si>
  <si>
    <t>J RENIN-ANGIO-ALDO S</t>
  </si>
  <si>
    <t>J REPROD DEVELOP</t>
  </si>
  <si>
    <t>J REPROD IMMUNOL</t>
  </si>
  <si>
    <t>J REPROD MED</t>
  </si>
  <si>
    <t>J RES NATL INST STAN</t>
  </si>
  <si>
    <t>J RHEUMATOL</t>
  </si>
  <si>
    <t>J RURAL HEALTH</t>
  </si>
  <si>
    <t>J RUSS LASER RES</t>
  </si>
  <si>
    <t>J SANDW STRUCT MATER</t>
  </si>
  <si>
    <t>J SCHOOL HEALTH</t>
  </si>
  <si>
    <t>J SCI IND RES INDIA</t>
  </si>
  <si>
    <t>J SCI MED SPORT</t>
  </si>
  <si>
    <t>J SEP SCI</t>
  </si>
  <si>
    <t>J SERB CHEM SOC</t>
  </si>
  <si>
    <t>J SEX MED</t>
  </si>
  <si>
    <t>J SHOULDER ELB SURG</t>
  </si>
  <si>
    <t>J SLEEP RES</t>
  </si>
  <si>
    <t>J SMALL ANIM PRACT</t>
  </si>
  <si>
    <t>J SOL ENERG-T ASME</t>
  </si>
  <si>
    <t>J SOUND VIB</t>
  </si>
  <si>
    <t>J SPINAL CORD MED</t>
  </si>
  <si>
    <t>J SPORT EXERCISE PSY</t>
  </si>
  <si>
    <t>J SPORT MANAGE</t>
  </si>
  <si>
    <t>J SPORT MED PHYS FIT</t>
  </si>
  <si>
    <t>J SPORT REHABIL</t>
  </si>
  <si>
    <t>J SPORT SCI</t>
  </si>
  <si>
    <t>J SPORT SCI MED</t>
  </si>
  <si>
    <t>J STAT COMPUT SIM</t>
  </si>
  <si>
    <t>J STAT PLAN INFER</t>
  </si>
  <si>
    <t>J STEROID BIOCHEM</t>
  </si>
  <si>
    <t>J STRAIN ANAL ENG</t>
  </si>
  <si>
    <t>J STRENGTH COND RES</t>
  </si>
  <si>
    <t>J STRUCT BIOL</t>
  </si>
  <si>
    <t>J SURG ONCOL</t>
  </si>
  <si>
    <t>J SURG RES</t>
  </si>
  <si>
    <t>GENETICA</t>
  </si>
  <si>
    <t>GENETICS</t>
  </si>
  <si>
    <t>GENOME</t>
  </si>
  <si>
    <t>GENOME BIOL</t>
  </si>
  <si>
    <t>GENOME RES</t>
  </si>
  <si>
    <t>GENOMICS</t>
  </si>
  <si>
    <t>GERIATR NURS</t>
  </si>
  <si>
    <t>GERONTOLOGY</t>
  </si>
  <si>
    <t>GLIA</t>
  </si>
  <si>
    <t>GLYCOBIOLOGY</t>
  </si>
  <si>
    <t>GLYCOCONJUGATE J</t>
  </si>
  <si>
    <t>GRAEF ARCH CLIN EXP</t>
  </si>
  <si>
    <t>GREEN CHEM</t>
  </si>
  <si>
    <t>GROWTH FACTORS</t>
  </si>
  <si>
    <t>GROWTH HORM IGF RES</t>
  </si>
  <si>
    <t>GUT</t>
  </si>
  <si>
    <t>GYNECOL ENDOCRINOL</t>
  </si>
  <si>
    <t>GYNECOL OBSTET INVES</t>
  </si>
  <si>
    <t>GYNECOL ONCOL</t>
  </si>
  <si>
    <t>HAEMOPHILIA</t>
  </si>
  <si>
    <t>HAND CLIN</t>
  </si>
  <si>
    <t>HASTINGS CENT REP</t>
  </si>
  <si>
    <t>HAUTARZT</t>
  </si>
  <si>
    <t>HEAD NECK-J SCI SPEC</t>
  </si>
  <si>
    <t>HEADACHE</t>
  </si>
  <si>
    <t>HEALTH AFFAIR</t>
  </si>
  <si>
    <t>HEALTH ECON</t>
  </si>
  <si>
    <t>HEALTH EXPECT</t>
  </si>
  <si>
    <t>HEALTH PHYS</t>
  </si>
  <si>
    <t>HEALTH POLICY</t>
  </si>
  <si>
    <t>HEALTH POLICY PLANN</t>
  </si>
  <si>
    <t>HEALTH PSYCHOL</t>
  </si>
  <si>
    <t>HEALTH SERV RES</t>
  </si>
  <si>
    <t>HEALTH TECHNOL ASSES</t>
  </si>
  <si>
    <t>HEARING RES</t>
  </si>
  <si>
    <t>HEART</t>
  </si>
  <si>
    <t>HEART FAIL REV</t>
  </si>
  <si>
    <t>HEART LUNG</t>
  </si>
  <si>
    <t>HEART RHYTHM</t>
  </si>
  <si>
    <t>HEART SURG FORUM</t>
  </si>
  <si>
    <t>HEART VESSELS</t>
  </si>
  <si>
    <t>HEAT TRANSFER ENG</t>
  </si>
  <si>
    <t>HELICOBACTER</t>
  </si>
  <si>
    <t>HELMINTHOLOGIA</t>
  </si>
  <si>
    <t>HELV CHIM ACTA</t>
  </si>
  <si>
    <t>HEMATOL ONCOL</t>
  </si>
  <si>
    <t>HEMATOL ONCOL CLIN N</t>
  </si>
  <si>
    <t>HEMOGLOBIN</t>
  </si>
  <si>
    <t>HEPATOL RES</t>
  </si>
  <si>
    <t>HEPATOLOGY</t>
  </si>
  <si>
    <t>HER RUSS ACAD SCI+</t>
  </si>
  <si>
    <t>HEREDITAS</t>
  </si>
  <si>
    <t>HEREDITY</t>
  </si>
  <si>
    <t>HERZ</t>
  </si>
  <si>
    <t>HETEROATOM CHEM</t>
  </si>
  <si>
    <t>HETEROCYCL COMMUN</t>
  </si>
  <si>
    <t>HETEROCYCLES</t>
  </si>
  <si>
    <t>HIGH ALT MED BIOL</t>
  </si>
  <si>
    <t>HIPPOCAMPUS</t>
  </si>
  <si>
    <t>HIST HUM SCI</t>
  </si>
  <si>
    <t>HIST MATH</t>
  </si>
  <si>
    <t>HIST PHIL LIFE SCI</t>
  </si>
  <si>
    <t>HIST PHILOS LOGIC</t>
  </si>
  <si>
    <t>HIST SCI</t>
  </si>
  <si>
    <t>HISTOCHEM CELL BIOL</t>
  </si>
  <si>
    <t>HISTOL HISTOPATHOL</t>
  </si>
  <si>
    <t>HISTOPATHOLOGY</t>
  </si>
  <si>
    <t>HIV MED</t>
  </si>
  <si>
    <t>HNO</t>
  </si>
  <si>
    <t>HORM BEHAV</t>
  </si>
  <si>
    <t>HORM METAB RES</t>
  </si>
  <si>
    <t>HUM BRAIN MAPP</t>
  </si>
  <si>
    <t>HUM EXP TOXICOL</t>
  </si>
  <si>
    <t>HUM FACTORS</t>
  </si>
  <si>
    <t>HUM GENE THER</t>
  </si>
  <si>
    <t>HUM GENET</t>
  </si>
  <si>
    <t>HUM HERED</t>
  </si>
  <si>
    <t>HUM IMMUNOL</t>
  </si>
  <si>
    <t>HUM MOL GENET</t>
  </si>
  <si>
    <t>HUM MOVEMENT SCI</t>
  </si>
  <si>
    <t>HUM MUTAT</t>
  </si>
  <si>
    <t>HUM PATHOL</t>
  </si>
  <si>
    <t>HUM PSYCHOPHARM CLIN</t>
  </si>
  <si>
    <t>HUM REPROD</t>
  </si>
  <si>
    <t>HUM REPROD UPDATE</t>
  </si>
  <si>
    <t>HYPERTENS PREGNANCY</t>
  </si>
  <si>
    <t>HYPERTENS RES</t>
  </si>
  <si>
    <t>HYPERTENSION</t>
  </si>
  <si>
    <t>IBM J RES DEV</t>
  </si>
  <si>
    <t>IEEE ACM T COMPUT BI</t>
  </si>
  <si>
    <t>IEEE ANN HIST COMPUT</t>
  </si>
  <si>
    <t>IEEE J SEL TOP QUANT</t>
  </si>
  <si>
    <t>IEEE PHOTONIC TECH L</t>
  </si>
  <si>
    <t>IEEE T BIO-MED ENG</t>
  </si>
  <si>
    <t>IEEE T EDUC</t>
  </si>
  <si>
    <t>IEEE T MED IMAGING</t>
  </si>
  <si>
    <t>IEEE T NANOBIOSCI</t>
  </si>
  <si>
    <t>IEEE T NEUR SYS REH</t>
  </si>
  <si>
    <t>IEEE T ULTRASON FERR</t>
  </si>
  <si>
    <t>IEEE-ASME T MECH</t>
  </si>
  <si>
    <t>IMAGE VISION COMPUT</t>
  </si>
  <si>
    <t>IMMUNITY</t>
  </si>
  <si>
    <t>IMMUNOBIOLOGY</t>
  </si>
  <si>
    <t>IMMUNOGENETICS</t>
  </si>
  <si>
    <t>IMMUNOL ALLERGY CLIN</t>
  </si>
  <si>
    <t>IMMUNOL CELL BIOL</t>
  </si>
  <si>
    <t>IMMUNOL INVEST</t>
  </si>
  <si>
    <t>IMMUNOL LETT</t>
  </si>
  <si>
    <t>IMMUNOL RES</t>
  </si>
  <si>
    <t>IMMUNOL REV</t>
  </si>
  <si>
    <t>IMMUNOPHARM IMMUNOT</t>
  </si>
  <si>
    <t>IN PRACTICE</t>
  </si>
  <si>
    <t>IN VITRO CELL DEV-AN</t>
  </si>
  <si>
    <t>IN VITRO CELL DEV-PL</t>
  </si>
  <si>
    <t>MEDICINE</t>
  </si>
  <si>
    <t>MELANOMA RES</t>
  </si>
  <si>
    <t>MEM I OSWALDO CRUZ</t>
  </si>
  <si>
    <t>MENDELEEV COMMUN</t>
  </si>
  <si>
    <t>MENOPAUSE</t>
  </si>
  <si>
    <t>METAB BRAIN DIS</t>
  </si>
  <si>
    <t>METAB ENG</t>
  </si>
  <si>
    <t>METABOLISM</t>
  </si>
  <si>
    <t>METHOD CELL BIOL</t>
  </si>
  <si>
    <t>METHOD ENZYMOL</t>
  </si>
  <si>
    <t>METHOD INFORM MED</t>
  </si>
  <si>
    <t>METHODOL COMPUT APPL</t>
  </si>
  <si>
    <t>METHODS</t>
  </si>
  <si>
    <t>METRIKA</t>
  </si>
  <si>
    <t>MICROB DRUG RESIST</t>
  </si>
  <si>
    <t>MICROB ECOL</t>
  </si>
  <si>
    <t>MICROB PATHOGENESIS</t>
  </si>
  <si>
    <t>MICROBES INFECT</t>
  </si>
  <si>
    <t>MICROBIOL IMMUNOL</t>
  </si>
  <si>
    <t>MICROBIOL MOL BIOL R</t>
  </si>
  <si>
    <t>MICROBIOL RES</t>
  </si>
  <si>
    <t>MICROBIOLOGY+</t>
  </si>
  <si>
    <t>MICROBIOL-SGM</t>
  </si>
  <si>
    <t>MICROCHEM J</t>
  </si>
  <si>
    <t>MICROCHIM ACTA</t>
  </si>
  <si>
    <t>MICROCIRCULATION</t>
  </si>
  <si>
    <t>MICROELECTRON ENG</t>
  </si>
  <si>
    <t>MICRON</t>
  </si>
  <si>
    <t>MICROSC MICROANAL</t>
  </si>
  <si>
    <t>MICROSC RES TECHNIQ</t>
  </si>
  <si>
    <t>MICROSURG</t>
  </si>
  <si>
    <t>MICROVASC RES</t>
  </si>
  <si>
    <t>MICROW OPT TECHN LET</t>
  </si>
  <si>
    <t>MIDWIFERY</t>
  </si>
  <si>
    <t>MILBANK Q</t>
  </si>
  <si>
    <t>MINERVA BIOTECNOL</t>
  </si>
  <si>
    <t>MINIM INVASIV THER</t>
  </si>
  <si>
    <t>MINI-REV MED CHEM</t>
  </si>
  <si>
    <t>MINI-REV ORG CHEM</t>
  </si>
  <si>
    <t>MITOCHONDRION</t>
  </si>
  <si>
    <t>MODERN PATHOL</t>
  </si>
  <si>
    <t>MOL BIOCHEM PARASIT</t>
  </si>
  <si>
    <t>MOL BIOL+</t>
  </si>
  <si>
    <t>MOL BIOL CELL</t>
  </si>
  <si>
    <t>MOL BIOL EVOL</t>
  </si>
  <si>
    <t>MOL BIOL REP</t>
  </si>
  <si>
    <t>MOL BIOTECHNOL</t>
  </si>
  <si>
    <t>MOL BREEDING</t>
  </si>
  <si>
    <t>MOL CANCER RES</t>
  </si>
  <si>
    <t>MOL CANCER THER</t>
  </si>
  <si>
    <t>MOL CARCINOGEN</t>
  </si>
  <si>
    <t>MOL CELL</t>
  </si>
  <si>
    <t>MOL CELL BIOCHEM</t>
  </si>
  <si>
    <t>MOL CELL BIOL</t>
  </si>
  <si>
    <t>MOL CELL ENDOCRINOL</t>
  </si>
  <si>
    <t>MOL CELL NEUROSCI</t>
  </si>
  <si>
    <t>MOL CELL PROBE</t>
  </si>
  <si>
    <t>MOL CELL PROTEOMICS</t>
  </si>
  <si>
    <t>MOL CELL TOXICOL</t>
  </si>
  <si>
    <t>MOL CELLS</t>
  </si>
  <si>
    <t>MOL DIAGN THER</t>
  </si>
  <si>
    <t>MOL ECOL</t>
  </si>
  <si>
    <t>MOL GENET GENOMICS</t>
  </si>
  <si>
    <t>MOL GENET METAB</t>
  </si>
  <si>
    <t>MOL HUM REPROD</t>
  </si>
  <si>
    <t>MOL IMAGING BIOL</t>
  </si>
  <si>
    <t>MOL IMMUNOL</t>
  </si>
  <si>
    <t>MOL MED</t>
  </si>
  <si>
    <t>MOL MEMBR BIOL</t>
  </si>
  <si>
    <t>MOL MICROBIOL</t>
  </si>
  <si>
    <t>MOL NEUROBIOL</t>
  </si>
  <si>
    <t>MOL PHARMACOL</t>
  </si>
  <si>
    <t>MOL PHYLOGENET EVOL</t>
  </si>
  <si>
    <t>MOL PLANT MICROBE IN</t>
  </si>
  <si>
    <t>MOL PSYCHIATR</t>
  </si>
  <si>
    <t>MOL REPROD DEV</t>
  </si>
  <si>
    <t>MOL SYST BIOL</t>
  </si>
  <si>
    <t>MOL THER</t>
  </si>
  <si>
    <t>MOL VIS</t>
  </si>
  <si>
    <t>MOLECULES</t>
  </si>
  <si>
    <t>MONATSH CHEM</t>
  </si>
  <si>
    <t>MONATSSCHR KINDERH</t>
  </si>
  <si>
    <t>TEST</t>
  </si>
  <si>
    <t>TETRAHEDRON</t>
  </si>
  <si>
    <t>TETRAHEDRON LETT</t>
  </si>
  <si>
    <t>TEX HEART I J</t>
  </si>
  <si>
    <t>THEOR APPL FRACT MEC</t>
  </si>
  <si>
    <t>THEOR APPL GENET</t>
  </si>
  <si>
    <t>THEOR BIOSCI</t>
  </si>
  <si>
    <t>THEOR POPUL BIOL</t>
  </si>
  <si>
    <t>THEOR PROBAB APPL+</t>
  </si>
  <si>
    <t>THER APHER DIAL</t>
  </si>
  <si>
    <t>THER DRUG MONIT</t>
  </si>
  <si>
    <t>THERAPIE</t>
  </si>
  <si>
    <t>THERIOGENOLOGY</t>
  </si>
  <si>
    <t>THERMOCHIM ACTA</t>
  </si>
  <si>
    <t>THORAC CARDIOV SURG</t>
  </si>
  <si>
    <t>THORAX</t>
  </si>
  <si>
    <t>THROMB HAEMOSTASIS</t>
  </si>
  <si>
    <t>THROMB RES</t>
  </si>
  <si>
    <t>THYROID</t>
  </si>
  <si>
    <t>TIERAERZTL UMSCHAU</t>
  </si>
  <si>
    <t>TISSUE CELL</t>
  </si>
  <si>
    <t>TOB CONTROL</t>
  </si>
  <si>
    <t>TOHOKU J EXP MED</t>
  </si>
  <si>
    <t>TOXICOL APPL PHARM</t>
  </si>
  <si>
    <t>TOXICOL IN VITRO</t>
  </si>
  <si>
    <t>TOXICOL IND HEALTH</t>
  </si>
  <si>
    <t>TOXICOL LETT</t>
  </si>
  <si>
    <t>TOXICOL MECH METHOD</t>
  </si>
  <si>
    <t>TOXICOL PATHOL</t>
  </si>
  <si>
    <t>TOXICOL SCI</t>
  </si>
  <si>
    <t>TOXICON</t>
  </si>
  <si>
    <t>TOXIN REV</t>
  </si>
  <si>
    <t>TRACE ELEM ELECTROLY</t>
  </si>
  <si>
    <t>TRAC-TREND ANAL CHEM</t>
  </si>
  <si>
    <t>TRAFFIC</t>
  </si>
  <si>
    <t>TRANSFUS APHER SCI</t>
  </si>
  <si>
    <t>TRANSFUS CLIN BIOL</t>
  </si>
  <si>
    <t>TRANSFUS MED HEMOTH</t>
  </si>
  <si>
    <t>TRANSFUS MED REV</t>
  </si>
  <si>
    <t>TRANSFUSION</t>
  </si>
  <si>
    <t>TRANSFUSION MED</t>
  </si>
  <si>
    <t>TRANSGENIC RES</t>
  </si>
  <si>
    <t>TRANSL RES</t>
  </si>
  <si>
    <t>TRANSPL IMMUNOL</t>
  </si>
  <si>
    <t>TRANSPL INT</t>
  </si>
  <si>
    <t>TRANSPL P</t>
  </si>
  <si>
    <t>TRAV HUMAIN</t>
  </si>
  <si>
    <t>TRENDS BIOCHEM SCI</t>
  </si>
  <si>
    <t>TRENDS BIOTECHNOL</t>
  </si>
  <si>
    <t>TRENDS CARDIOVAS MED</t>
  </si>
  <si>
    <t>TRENDS CELL BIOL</t>
  </si>
  <si>
    <t>TRENDS COGN SCI</t>
  </si>
  <si>
    <t>TRENDS ECOL EVOL</t>
  </si>
  <si>
    <t>TRENDS ENDOCRIN MET</t>
  </si>
  <si>
    <t>TRENDS GENET</t>
  </si>
  <si>
    <t>TRENDS GLYCOSCI GLYC</t>
  </si>
  <si>
    <t>TRENDS IMMUNOL</t>
  </si>
  <si>
    <t>TRENDS MICROBIOL</t>
  </si>
  <si>
    <t>TRENDS MOL MED</t>
  </si>
  <si>
    <t>TRENDS NEUROSCI</t>
  </si>
  <si>
    <t>TRENDS PARASITOL</t>
  </si>
  <si>
    <t>TRENDS PHARMACOL SCI</t>
  </si>
  <si>
    <t>TRIALS</t>
  </si>
  <si>
    <t>TRIBOL INT</t>
  </si>
  <si>
    <t>TRIBOL LETT</t>
  </si>
  <si>
    <t>TRIBOL T</t>
  </si>
  <si>
    <t>TROP ANIM HEALTH PRO</t>
  </si>
  <si>
    <t>TROP DOCT</t>
  </si>
  <si>
    <t>TROP MED INT HEALTH</t>
  </si>
  <si>
    <t>TUBERCULOSIS</t>
  </si>
  <si>
    <t>TURK J CHEM</t>
  </si>
  <si>
    <t>TURK J VET ANIM SCI</t>
  </si>
  <si>
    <t>TURKISH J PEDIATR</t>
  </si>
  <si>
    <t>TWIN RES HUM GENET</t>
  </si>
  <si>
    <t>ULTRAMICROSCOPY</t>
  </si>
  <si>
    <t>ULTRASCHALL MED</t>
  </si>
  <si>
    <t>ULTRASON SONOCHEM</t>
  </si>
  <si>
    <t>ULTRASONIC IMAGING</t>
  </si>
  <si>
    <t>ULTRASONICS</t>
  </si>
  <si>
    <t>ULTRASOUND MED BIOL</t>
  </si>
  <si>
    <t>ULTRASOUND OBST GYN</t>
  </si>
  <si>
    <t>ULTRASTRUCT PATHOL</t>
  </si>
  <si>
    <t>UNDERSEA HYPERBAR M</t>
  </si>
  <si>
    <t>UNFALLCHIRURG</t>
  </si>
  <si>
    <t>UPSALA J MED SCI</t>
  </si>
  <si>
    <t>UROL CLIN N AM</t>
  </si>
  <si>
    <t>UROL INT</t>
  </si>
  <si>
    <t>UROL ONCOL-SEMIN ORI</t>
  </si>
  <si>
    <t>UROLOGE</t>
  </si>
  <si>
    <t>UROLOGY</t>
  </si>
  <si>
    <t>UTILITAS MATHEMATICA</t>
  </si>
  <si>
    <t>VACCINE</t>
  </si>
  <si>
    <t>VALUE HEALTH</t>
  </si>
  <si>
    <t>VASC MED</t>
  </si>
  <si>
    <t>VASC PHARMACOL</t>
  </si>
  <si>
    <t>VECTOR-BORNE ZOONOT</t>
  </si>
  <si>
    <t>VEHICLE SYST DYN</t>
  </si>
  <si>
    <t>VERHALTENSTHERAPIE</t>
  </si>
  <si>
    <t>VET ANAESTH ANALG</t>
  </si>
  <si>
    <t>VET CLIN N AM-EQUINE</t>
  </si>
  <si>
    <t>VET CLIN N AM-FOOD A</t>
  </si>
  <si>
    <t>VET CLIN N AM-SMALL</t>
  </si>
  <si>
    <t>VET CLIN PATH</t>
  </si>
  <si>
    <t>VET COMP ORTHOPAED</t>
  </si>
  <si>
    <t>VET DERMATOL</t>
  </si>
  <si>
    <t>VET IMMUNOL IMMUNOP</t>
  </si>
  <si>
    <t>VET J</t>
  </si>
  <si>
    <t>VET MED-CZECH</t>
  </si>
  <si>
    <t>VET MICROBIOL</t>
  </si>
  <si>
    <t>VET OPHTHALMOL</t>
  </si>
  <si>
    <t>VET PARASITOL</t>
  </si>
  <si>
    <t>VET PATHOL</t>
  </si>
  <si>
    <t>VET QUART</t>
  </si>
  <si>
    <t>VET RADIOL ULTRASOUN</t>
  </si>
  <si>
    <t>VET REC</t>
  </si>
  <si>
    <t>VET RES</t>
  </si>
  <si>
    <t>VET RES COMMUN</t>
  </si>
  <si>
    <t>VET SURG</t>
  </si>
  <si>
    <t>VIB SPECTROSC</t>
  </si>
  <si>
    <t>VIRAL IMMUNOL</t>
  </si>
  <si>
    <t>VIRCHOWS ARCH</t>
  </si>
  <si>
    <t>VIRUS GENES</t>
  </si>
  <si>
    <t>VIRUS RES</t>
  </si>
  <si>
    <t>VISION RES</t>
  </si>
  <si>
    <t>VISUAL NEUROSCI</t>
  </si>
  <si>
    <t>VITAM HORM</t>
  </si>
  <si>
    <t>VLAAMS DIERGEN TIJDS</t>
  </si>
  <si>
    <t>VOX SANG</t>
  </si>
  <si>
    <t>W INDIAN MED J</t>
  </si>
  <si>
    <t>WAVE MOTION</t>
  </si>
  <si>
    <t>WEAR</t>
  </si>
  <si>
    <t>WESTERN J NURS RES</t>
  </si>
  <si>
    <t>WIEN KLIN WOCHENSCHR</t>
  </si>
  <si>
    <t>WIEN TIERARZTL MONAT</t>
  </si>
  <si>
    <t>WILD ENVIRON MED</t>
  </si>
  <si>
    <t>WIND ENERGY</t>
  </si>
  <si>
    <t>WORLD J BIOL PSYCHIA</t>
  </si>
  <si>
    <t>WORLD J MICROB BIOT</t>
  </si>
  <si>
    <t>WORLD J SURG</t>
  </si>
  <si>
    <t>WORLD J UROL</t>
  </si>
  <si>
    <t>WOUND REPAIR REGEN</t>
  </si>
  <si>
    <t>WOUNDS</t>
  </si>
  <si>
    <t>XENOBIOTICA</t>
  </si>
  <si>
    <t>XENOTRANSPLANTATION</t>
  </si>
  <si>
    <t>YAKUGAKU ZASSHI</t>
  </si>
  <si>
    <t>YEAST</t>
  </si>
  <si>
    <t>YONSEI MED J</t>
  </si>
  <si>
    <t>Z GASTROENTEROL</t>
  </si>
  <si>
    <t>Z GERONTOL GERIATR</t>
  </si>
  <si>
    <t>Z NATURFORSCH B</t>
  </si>
  <si>
    <t>Z NATURFORSCH C</t>
  </si>
  <si>
    <t>Z PSYCHOSOM MED PSYC</t>
  </si>
  <si>
    <t>Z RHEUMATOL</t>
  </si>
  <si>
    <t>ZBL CHIR</t>
  </si>
  <si>
    <t>ZH OBSHCH BIOL</t>
  </si>
  <si>
    <t>ZH VYSSH NERV DEYAT+</t>
  </si>
  <si>
    <t>ZOO BIOL</t>
  </si>
  <si>
    <t>ZOOMORPHOLOGY</t>
  </si>
  <si>
    <t>ZYGOTE</t>
  </si>
  <si>
    <t>OMICS</t>
  </si>
  <si>
    <t>ONCOGENE</t>
  </si>
  <si>
    <t>ONCOL NURS FORUM</t>
  </si>
  <si>
    <t>ONCOL REP</t>
  </si>
  <si>
    <t>ONCOL RES</t>
  </si>
  <si>
    <t>ONCOLOGY-BASEL</t>
  </si>
  <si>
    <t>ONCOLOGY-NY</t>
  </si>
  <si>
    <t>ONDERSTEPOORT J VET</t>
  </si>
  <si>
    <t>OPEN SYST INF DYN</t>
  </si>
  <si>
    <t>OPER DENT</t>
  </si>
  <si>
    <t>OPER TECHN SPORT MED</t>
  </si>
  <si>
    <t>OPHTHAL EPIDEMIOL</t>
  </si>
  <si>
    <t>OPHTHAL PHYSL OPT</t>
  </si>
  <si>
    <t>OPHTHAL PLAST RECONS</t>
  </si>
  <si>
    <t>OPHTHALMOLOGE</t>
  </si>
  <si>
    <t>OPHTHALMOLOGICA</t>
  </si>
  <si>
    <t>OPT APPL</t>
  </si>
  <si>
    <t>OPT COMMUN</t>
  </si>
  <si>
    <t>OPT ENG</t>
  </si>
  <si>
    <t>OPT EXPRESS</t>
  </si>
  <si>
    <t>OPT FIBER TECHNOL</t>
  </si>
  <si>
    <t>OPT LASER ENG</t>
  </si>
  <si>
    <t>OPT LASER TECHNOL</t>
  </si>
  <si>
    <t>OPT LETT</t>
  </si>
  <si>
    <t>OPT MATER</t>
  </si>
  <si>
    <t>OPT QUANT ELECTRON</t>
  </si>
  <si>
    <t>OPT REV</t>
  </si>
  <si>
    <t>ELECTROANAL</t>
  </si>
  <si>
    <t>ELECTROMAGN BIOL MED</t>
  </si>
  <si>
    <t>ELECTRON COMMUN PROB</t>
  </si>
  <si>
    <t>ELECTRON J BIOTECHN</t>
  </si>
  <si>
    <t>ELECTRON J PROBAB</t>
  </si>
  <si>
    <t>ELECTROPHORESIS</t>
  </si>
  <si>
    <t>EMBO J</t>
  </si>
  <si>
    <t>EMBO REP</t>
  </si>
  <si>
    <t>EMERG INFECT DIS</t>
  </si>
  <si>
    <t>EMERG MED CLIN N AM</t>
  </si>
  <si>
    <t>EMERG MED J</t>
  </si>
  <si>
    <t>ENCEPHALE</t>
  </si>
  <si>
    <t>ENDEAVOUR</t>
  </si>
  <si>
    <t>ENDOCR J</t>
  </si>
  <si>
    <t>ENDOCR PATHOL</t>
  </si>
  <si>
    <t>ENDOCR RES</t>
  </si>
  <si>
    <t>ENDOCR REV</t>
  </si>
  <si>
    <t>ENDOCRIN METAB CLIN</t>
  </si>
  <si>
    <t>ENDOCRINE</t>
  </si>
  <si>
    <t>ENDOCRINOLOGY</t>
  </si>
  <si>
    <t>ENDOCR-RELAT CANCER</t>
  </si>
  <si>
    <t>ENDOSCOPY</t>
  </si>
  <si>
    <t>ENFERM INFEC MICR CL</t>
  </si>
  <si>
    <t>ENG COMPUTATION</t>
  </si>
  <si>
    <t>ENG COMPUT-GERMANY</t>
  </si>
  <si>
    <t>ENG FAIL ANAL</t>
  </si>
  <si>
    <t>ENG LIFE SCI</t>
  </si>
  <si>
    <t>ENVIRON CHEM LETT</t>
  </si>
  <si>
    <t>ENVIRON ECOL STAT</t>
  </si>
  <si>
    <t>ENVIRON GEOCHEM HLTH</t>
  </si>
  <si>
    <t>ENVIRON HEALTH PERSP</t>
  </si>
  <si>
    <t>J MECH DESIGN</t>
  </si>
  <si>
    <t>J MECH SCI TECHNOL</t>
  </si>
  <si>
    <t>J MED CHEM</t>
  </si>
  <si>
    <t>J MED ENTOMOL</t>
  </si>
  <si>
    <t>J MED ETHICS</t>
  </si>
  <si>
    <t>J MED FOOD</t>
  </si>
  <si>
    <t>J MED GENET</t>
  </si>
  <si>
    <t>J MED INTERNET RES</t>
  </si>
  <si>
    <t>J MED MICROBIOL</t>
  </si>
  <si>
    <t>J MED PRIMATOL</t>
  </si>
  <si>
    <t>J MED SCREEN</t>
  </si>
  <si>
    <t>J MED SYST</t>
  </si>
  <si>
    <t>J MED VIROL</t>
  </si>
  <si>
    <t>J MEM LANG</t>
  </si>
  <si>
    <t>J MEMBRANE BIOL</t>
  </si>
  <si>
    <t>J MICROBIOL</t>
  </si>
  <si>
    <t>J MICROBIOL METH</t>
  </si>
  <si>
    <t>J MICROELECTROMECH S</t>
  </si>
  <si>
    <t>J MICROENCAPSUL</t>
  </si>
  <si>
    <t>J MICROSC-OXFORD</t>
  </si>
  <si>
    <t>J MINIM INVAS GYN</t>
  </si>
  <si>
    <t>J MOD OPTIC</t>
  </si>
  <si>
    <t>J MOL BIOL</t>
  </si>
  <si>
    <t>J MOL CELL CARDIOL</t>
  </si>
  <si>
    <t>J MOL DIAGN</t>
  </si>
  <si>
    <t>J MOL ENDOCRINOL</t>
  </si>
  <si>
    <t>J MOL EVOL</t>
  </si>
  <si>
    <t>J MOL GRAPH MODEL</t>
  </si>
  <si>
    <t>J MOL HISTOL</t>
  </si>
  <si>
    <t>J MOL MODEL</t>
  </si>
  <si>
    <t>J MOL NEUROSCI</t>
  </si>
  <si>
    <t>J MOL RECOGNIT</t>
  </si>
  <si>
    <t>J MORPHOL</t>
  </si>
  <si>
    <t>J MOTOR BEHAV</t>
  </si>
  <si>
    <t>J MULTIVARIATE ANAL</t>
  </si>
  <si>
    <t>J MUSCLE RES CELL M</t>
  </si>
  <si>
    <t>J MYCOL MED</t>
  </si>
  <si>
    <t>J NANOPART RES</t>
  </si>
  <si>
    <t>J NAT PROD</t>
  </si>
  <si>
    <t>J NATL MED ASSOC</t>
  </si>
  <si>
    <t>J NEPHROL</t>
  </si>
  <si>
    <t>J NERV MENT DIS</t>
  </si>
  <si>
    <t>J NEURAL TRANSM</t>
  </si>
  <si>
    <t>J NEUROCHEM</t>
  </si>
  <si>
    <t>OPT SPECTROSC+</t>
  </si>
  <si>
    <t>OPTIK</t>
  </si>
  <si>
    <t>OPTO-ELECTRON REV</t>
  </si>
  <si>
    <t>OPTOMETRY VISION SCI</t>
  </si>
  <si>
    <t>ORAL DIS</t>
  </si>
  <si>
    <t>ORAL ONCOL</t>
  </si>
  <si>
    <t>ORG BIOMOL CHEM</t>
  </si>
  <si>
    <t>ORG LETT</t>
  </si>
  <si>
    <t>ORG PREP PROCED INT</t>
  </si>
  <si>
    <t>ORG PROCESS RES DEV</t>
  </si>
  <si>
    <t>ORGANOMETALLICS</t>
  </si>
  <si>
    <t>ORIGINS LIFE EVOL B</t>
  </si>
  <si>
    <t>ORL J OTO-RHINO-LARY</t>
  </si>
  <si>
    <t>ORTHOP CLIN N AM</t>
  </si>
  <si>
    <t>ORTHOPADE</t>
  </si>
  <si>
    <t>OSIRIS</t>
  </si>
  <si>
    <t>OSTEOARTHR CARTILAGE</t>
  </si>
  <si>
    <t>OSTEOPOROSIS INT</t>
  </si>
  <si>
    <t>OTOL NEUROTOL</t>
  </si>
  <si>
    <t>OTOLARYNG CLIN N AM</t>
  </si>
  <si>
    <t>OTOLARYNG HEAD NECK</t>
  </si>
  <si>
    <t>OXFORD B ECON STAT</t>
  </si>
  <si>
    <t>P BIOL SOC WASH</t>
  </si>
  <si>
    <t>J AVIAN MED SURG</t>
  </si>
  <si>
    <t>J BACK MUSCULOSKELET</t>
  </si>
  <si>
    <t>J BACTERIOL</t>
  </si>
  <si>
    <t>J BASIC MICROB</t>
  </si>
  <si>
    <t>J BIOACT COMPAT POL</t>
  </si>
  <si>
    <t>J BIOCHEM</t>
  </si>
  <si>
    <t>J BIOCHEM MOL TOXIC</t>
  </si>
  <si>
    <t>J BIOENERG BIOMEMBR</t>
  </si>
  <si>
    <t>J BIOL CHEM</t>
  </si>
  <si>
    <t>J BIOL EDUC</t>
  </si>
  <si>
    <t>J BIOL INORG CHEM</t>
  </si>
  <si>
    <t>J BIOL PHYS</t>
  </si>
  <si>
    <t>J BIOL REG HOMEOS AG</t>
  </si>
  <si>
    <t>J BIOL RHYTHM</t>
  </si>
  <si>
    <t>J BIOL SYST</t>
  </si>
  <si>
    <t>J BIOMAT SCI-POLYM E</t>
  </si>
  <si>
    <t>J BIOMATER APPL</t>
  </si>
  <si>
    <t>J BIOMECH</t>
  </si>
  <si>
    <t>J BIOMECH ENG-T ASME</t>
  </si>
  <si>
    <t>J BIOMED INFORM</t>
  </si>
  <si>
    <t>J BIOMED MATER RES A</t>
  </si>
  <si>
    <t>J BIOMED MATER RES B</t>
  </si>
  <si>
    <t>J BIOMED OPT</t>
  </si>
  <si>
    <t>J BIOMED SCI</t>
  </si>
  <si>
    <t>J BIOMOL NMR</t>
  </si>
  <si>
    <t>J BIOSCI BIOENG</t>
  </si>
  <si>
    <t>J BIOSCIENCES</t>
  </si>
  <si>
    <t>J BIOTECHNOL</t>
  </si>
  <si>
    <t>J BONE JOINT SURG AM</t>
  </si>
  <si>
    <t>J BONE MINER METAB</t>
  </si>
  <si>
    <t>J BONE MINER RES</t>
  </si>
  <si>
    <t>J BRAZIL CHEM SOC</t>
  </si>
  <si>
    <t>J BURN CARE RES</t>
  </si>
  <si>
    <t>J BUS ECON STAT</t>
  </si>
  <si>
    <t>J CAMEL PRACT RES</t>
  </si>
  <si>
    <t>J CANCER EDUC</t>
  </si>
  <si>
    <t>J CANCER RES CLIN</t>
  </si>
  <si>
    <t>J CARBOHYD CHEM</t>
  </si>
  <si>
    <t>J CARD FAIL</t>
  </si>
  <si>
    <t>J CARDIAC SURG</t>
  </si>
  <si>
    <t>J CARDIOTHOR VASC AN</t>
  </si>
  <si>
    <t>J CARDIOVASC MAGN R</t>
  </si>
  <si>
    <t>J CARDIOVASC PHARM</t>
  </si>
  <si>
    <t>J CARDIOVASC PHARM T</t>
  </si>
  <si>
    <t>J CARDIOVASC SURG</t>
  </si>
  <si>
    <t>J CATARACT REFR SURG</t>
  </si>
  <si>
    <t>J CELL BIOCHEM</t>
  </si>
  <si>
    <t>J CELL BIOL</t>
  </si>
  <si>
    <t>J CELL MOL MED</t>
  </si>
  <si>
    <t>J CELL PHYSIOL</t>
  </si>
  <si>
    <t>J CELL SCI</t>
  </si>
  <si>
    <t>J CEREBR BLOOD F MET</t>
  </si>
  <si>
    <t>J CHEM ECOL</t>
  </si>
  <si>
    <t>J CHEM EDUC</t>
  </si>
  <si>
    <t>J CHEM ENG DATA</t>
  </si>
  <si>
    <t>J CHEM INF MODEL</t>
  </si>
  <si>
    <t>J CHEM NEUROANAT</t>
  </si>
  <si>
    <t>J CHEM SCI</t>
  </si>
  <si>
    <t>J CHEM SOC PAKISTAN</t>
  </si>
  <si>
    <t>J CHEM TECHNOL BIOT</t>
  </si>
  <si>
    <t>J CHEM THEORY COMPUT</t>
  </si>
  <si>
    <t>J CHEMOMETR</t>
  </si>
  <si>
    <t>J CHEMOTHERAPY</t>
  </si>
  <si>
    <t>J CHIL CHEM SOC</t>
  </si>
  <si>
    <t>J CHILD ADOL PSYCHOP</t>
  </si>
  <si>
    <t>J CHILD NEUROL</t>
  </si>
  <si>
    <t>J CHIN CHEM SOC-TAIP</t>
  </si>
  <si>
    <t>J CHROMATOGR A</t>
  </si>
  <si>
    <t>J CHROMATOGR B</t>
  </si>
  <si>
    <t>J CHROMATOGR SCI</t>
  </si>
  <si>
    <t>J CLIN ANESTH</t>
  </si>
  <si>
    <t>J CLIN APHERESIS</t>
  </si>
  <si>
    <t>J CLIN BIOCHEM NUTR</t>
  </si>
  <si>
    <t>J CLIN DENSITOM</t>
  </si>
  <si>
    <t>J CLIN ENDOCR METAB</t>
  </si>
  <si>
    <t>J CLIN EPIDEMIOL</t>
  </si>
  <si>
    <t>J CLIN EXP NEUROPSYC</t>
  </si>
  <si>
    <t>J CLIN GASTROENTEROL</t>
  </si>
  <si>
    <t>J CLIN IMMUNOL</t>
  </si>
  <si>
    <t>J CLIN INVEST</t>
  </si>
  <si>
    <t>J CLIN LAB ANAL</t>
  </si>
  <si>
    <t>J CLIN MICROBIOL</t>
  </si>
  <si>
    <t>J CLIN NEUROPHYSIOL</t>
  </si>
  <si>
    <t>J CLIN NEUROSCI</t>
  </si>
  <si>
    <t>J CLIN NURS</t>
  </si>
  <si>
    <t>J CLIN ONCOL</t>
  </si>
  <si>
    <t>J CLIN PATHOL</t>
  </si>
  <si>
    <t>J CLIN PERIODONTOL</t>
  </si>
  <si>
    <t>J CLIN PHARM THER</t>
  </si>
  <si>
    <t>J CLIN PHARMACOL</t>
  </si>
  <si>
    <t>J CLIN PSYCHIAT</t>
  </si>
  <si>
    <t>J CLIN PSYCHOPHARM</t>
  </si>
  <si>
    <t>J CLIN ULTRASOUND</t>
  </si>
  <si>
    <t>J CLIN VIROL</t>
  </si>
  <si>
    <t>J COGNITIVE NEUROSCI</t>
  </si>
  <si>
    <t>J COMP NEUROL</t>
  </si>
  <si>
    <t>J COMP PATHOL</t>
  </si>
  <si>
    <t>J COMP PHYSIOL A</t>
  </si>
  <si>
    <t>J COMP PHYSIOL B</t>
  </si>
  <si>
    <t>J COMP PSYCHOL</t>
  </si>
  <si>
    <t>J COMPUT AID MOL DES</t>
  </si>
  <si>
    <t>J COMPUT ASSIST TOMO</t>
  </si>
  <si>
    <t>J COMPUT BIOL</t>
  </si>
  <si>
    <t>J COMPUT CHEM</t>
  </si>
  <si>
    <t>J COMPUT GRAPH STAT</t>
  </si>
  <si>
    <t>J COMPUT NEUROSCI</t>
  </si>
  <si>
    <t>J CONTROL RELEASE</t>
  </si>
  <si>
    <t>J COSMET SCI</t>
  </si>
  <si>
    <t>J CRANIO MAXILL SURG</t>
  </si>
  <si>
    <t>J CRANIOFAC SURG</t>
  </si>
  <si>
    <t>J CRIT CARE</t>
  </si>
  <si>
    <t>J CUTAN MED SURG</t>
  </si>
  <si>
    <t>J CUTAN PATHOL</t>
  </si>
  <si>
    <t>J DENT</t>
  </si>
  <si>
    <t>J DENT RES</t>
  </si>
  <si>
    <t>J DERMATOL</t>
  </si>
  <si>
    <t>J DERMATOL SCI</t>
  </si>
  <si>
    <t>J DEV BEHAV PEDIATR</t>
  </si>
  <si>
    <t>J DIABETES COMPLICAT</t>
  </si>
  <si>
    <t>J DIGIT IMAGING</t>
  </si>
  <si>
    <t>J DRUG DELIV SCI TEC</t>
  </si>
  <si>
    <t>J DRUG TARGET</t>
  </si>
  <si>
    <t>J ECT</t>
  </si>
  <si>
    <t>J ELECTROANAL CHEM</t>
  </si>
  <si>
    <t>J ELECTROCARDIOL</t>
  </si>
  <si>
    <t>J ELECTROMYOGR KINES</t>
  </si>
  <si>
    <t>J ELECTRON IMAGING</t>
  </si>
  <si>
    <t>J ELECTRON PACKAGING</t>
  </si>
  <si>
    <t>J EMERG MED</t>
  </si>
  <si>
    <t>J ENDOCRINOL</t>
  </si>
  <si>
    <t>J ENDOCRINOL INVEST</t>
  </si>
  <si>
    <t>J ENDODONT</t>
  </si>
  <si>
    <t>J ENDOUROL</t>
  </si>
  <si>
    <t>J ENDOVASC THER</t>
  </si>
  <si>
    <t>J ENG EDUC</t>
  </si>
  <si>
    <t>J ENG GAS TURB POWER</t>
  </si>
  <si>
    <t>J ENG MATER-T ASME</t>
  </si>
  <si>
    <t>J ENVIRON HEALTH</t>
  </si>
  <si>
    <t>J ENVIRON PATHOL TOX</t>
  </si>
  <si>
    <t>J ENVIRON SCI HEAL B</t>
  </si>
  <si>
    <t>J ENVIRON SCI HEAL C</t>
  </si>
  <si>
    <t>J ENZYM INHIB MED CH</t>
  </si>
  <si>
    <t>J EPIDEMIOL</t>
  </si>
  <si>
    <t>J EPIDEMIOL COMMUN H</t>
  </si>
  <si>
    <t>J EQUINE VET SCI</t>
  </si>
  <si>
    <t>J ETHNOPHARMACOL</t>
  </si>
  <si>
    <t>J EUKARYOT MICROBIOL</t>
  </si>
  <si>
    <t>J EUR ACAD DERMATOL</t>
  </si>
  <si>
    <t>J EVAL CLIN PRACT</t>
  </si>
  <si>
    <t>J EVOL BIOCHEM PHYS+</t>
  </si>
  <si>
    <t>J EVOLUTION BIOL</t>
  </si>
  <si>
    <t>J EXP BIOL</t>
  </si>
  <si>
    <t>J EXP CLIN CANC RES</t>
  </si>
  <si>
    <t>J EXP MED</t>
  </si>
  <si>
    <t>J EXP PSYCHOL HUMAN</t>
  </si>
  <si>
    <t>J EXP PSYCHOL LEARN</t>
  </si>
  <si>
    <t>J EXPO SCI ENV EPID</t>
  </si>
  <si>
    <t>J FAM PRACTICE</t>
  </si>
  <si>
    <t>J FELINE MED SURG</t>
  </si>
  <si>
    <t>J FISH DIS</t>
  </si>
  <si>
    <t>J FLUID ENG-T ASME</t>
  </si>
  <si>
    <t>J FLUID STRUCT</t>
  </si>
  <si>
    <t>J FLUORESC</t>
  </si>
  <si>
    <t>J FLUORINE CHEM</t>
  </si>
  <si>
    <t>J FOOD BIOCHEM</t>
  </si>
  <si>
    <t>J FOOD DRUG ANAL</t>
  </si>
  <si>
    <t>J FOOD PROTECT</t>
  </si>
  <si>
    <t>J FOOD SAFETY</t>
  </si>
  <si>
    <t>J FORENSIC SCI</t>
  </si>
  <si>
    <t>J FORMOS MED ASSOC</t>
  </si>
  <si>
    <t>J FR OPHTALMOL</t>
  </si>
  <si>
    <t>J GASTROEN HEPATOL</t>
  </si>
  <si>
    <t>J GASTROENTEROL</t>
  </si>
  <si>
    <t>J GASTROINTEST SURG</t>
  </si>
  <si>
    <t>J GEN APPL MICROBIOL</t>
  </si>
  <si>
    <t>J GEN INTERN MED</t>
  </si>
  <si>
    <t>J GEN PHYSIOL</t>
  </si>
  <si>
    <t>J GEN VIROL</t>
  </si>
  <si>
    <t>J GENE MED</t>
  </si>
  <si>
    <t>J GENET</t>
  </si>
  <si>
    <t>J GENET PSYCHOL</t>
  </si>
  <si>
    <t>J GERIATR PSYCH NEUR</t>
  </si>
  <si>
    <t>J GERONTOL A-BIOL</t>
  </si>
  <si>
    <t>J GERONTOL B-PSYCHOL</t>
  </si>
  <si>
    <t>J GLAUCOMA</t>
  </si>
  <si>
    <t>J HAND SURG-AM</t>
  </si>
  <si>
    <t>J HEALTH ECON</t>
  </si>
  <si>
    <t>J HEALTH POLIT POLIC</t>
  </si>
  <si>
    <t>J HEALTH POPUL NUTR</t>
  </si>
  <si>
    <t>J HEART LUNG TRANSPL</t>
  </si>
  <si>
    <t>PROSTATE</t>
  </si>
  <si>
    <t>PROSTATE CANCER P D</t>
  </si>
  <si>
    <t>PROSTHET ORTHOT INT</t>
  </si>
  <si>
    <t>PROTEIN ENG DES SEL</t>
  </si>
  <si>
    <t>PROTEIN EXPRES PURIF</t>
  </si>
  <si>
    <t>PROTEIN J</t>
  </si>
  <si>
    <t>PROTEIN PEPTIDE LETT</t>
  </si>
  <si>
    <t>PROTEIN SCI</t>
  </si>
  <si>
    <t>PROTEINS</t>
  </si>
  <si>
    <t>PROTEOMICS</t>
  </si>
  <si>
    <t>PROTIST</t>
  </si>
  <si>
    <t>PROTOPLASMA</t>
  </si>
  <si>
    <t>PRZEM CHEM</t>
  </si>
  <si>
    <t>PSYCHIAT CLIN NEUROS</t>
  </si>
  <si>
    <t>PSYCHIAT GENET</t>
  </si>
  <si>
    <t>PSYCHIAT RES</t>
  </si>
  <si>
    <t>PSYCHIAT RES-NEUROIM</t>
  </si>
  <si>
    <t>PSYCHIAT SERV</t>
  </si>
  <si>
    <t>PSYCHOL BULL</t>
  </si>
  <si>
    <t>PSYCHOL MED</t>
  </si>
  <si>
    <t>PSYCHOL PSYCHOTHER-T</t>
  </si>
  <si>
    <t>PSYCHOL REV</t>
  </si>
  <si>
    <t>PSYCHOL SPORT EXERC</t>
  </si>
  <si>
    <t>PSYCHONEUROENDOCRINO</t>
  </si>
  <si>
    <t>PSYCHOPATHOLOGY</t>
  </si>
  <si>
    <t>PSYCHOPHARMACOLOGY</t>
  </si>
  <si>
    <t>PSYCHOPHYSIOLOGY</t>
  </si>
  <si>
    <t>PSYCHOSOM MED</t>
  </si>
  <si>
    <t>PSYCHOSOMATICS</t>
  </si>
  <si>
    <t>PSYCHOTHER PSYCHOSOM</t>
  </si>
  <si>
    <t>PTERIDINES</t>
  </si>
  <si>
    <t>PUBLIC HEALTH</t>
  </si>
  <si>
    <t>PUBLIC HEALTH NURS</t>
  </si>
  <si>
    <t>PUBLIC HEALTH NUTR</t>
  </si>
  <si>
    <t>PUBLIC HEALTH REP</t>
  </si>
  <si>
    <t>PULM PHARMACOL THER</t>
  </si>
  <si>
    <t>PURE APPL CHEM</t>
  </si>
  <si>
    <t>Q J EXP PSYCHOL</t>
  </si>
  <si>
    <t>Q J NUCL MED MOL IM</t>
  </si>
  <si>
    <t>Q REV BIOL</t>
  </si>
  <si>
    <t>Q REV BIOPHYS</t>
  </si>
  <si>
    <t>QJM-INT J MED</t>
  </si>
  <si>
    <t>QUAL LIFE RES</t>
  </si>
  <si>
    <t>QUEST</t>
  </si>
  <si>
    <t>QUIM NOVA</t>
  </si>
  <si>
    <t>QUINTESSENCE INT</t>
  </si>
  <si>
    <t>RADIAT ENVIRON BIOPH</t>
  </si>
  <si>
    <t>RADIAT PROT DOSIM</t>
  </si>
  <si>
    <t>RADIAT RES</t>
  </si>
  <si>
    <t>RADIOGRAPHICS</t>
  </si>
  <si>
    <t>RADIOL CLIN N AM</t>
  </si>
  <si>
    <t>RADIOLOGE</t>
  </si>
  <si>
    <t>RADIOLOGY</t>
  </si>
  <si>
    <t>RADIOTHER ONCOL</t>
  </si>
  <si>
    <t>RAPID COMMUN MASS SP</t>
  </si>
  <si>
    <t>RAPID PROTOTYPING J</t>
  </si>
  <si>
    <t>REDOX REP</t>
  </si>
  <si>
    <t>REGION ANESTH PAIN M</t>
  </si>
  <si>
    <t>REGUL TOXICOL PHARM</t>
  </si>
  <si>
    <t>REJUV RES</t>
  </si>
  <si>
    <t>RENAL FAILURE</t>
  </si>
  <si>
    <t>REPROD BIOMED ONLINE</t>
  </si>
  <si>
    <t>REPROD DOMEST ANIM</t>
  </si>
  <si>
    <t>REPROD FERT DEVELOP</t>
  </si>
  <si>
    <t>REPROD TOXICOL</t>
  </si>
  <si>
    <t>REPRODUCTION</t>
  </si>
  <si>
    <t>RES CHEM INTERMEDIAT</t>
  </si>
  <si>
    <t>RES MICROBIOL</t>
  </si>
  <si>
    <t>RES NURS HEALTH</t>
  </si>
  <si>
    <t>RES Q EXERCISE SPORT</t>
  </si>
  <si>
    <t>RES VET SCI</t>
  </si>
  <si>
    <t>RESP MED</t>
  </si>
  <si>
    <t>RESP PHYSIOL NEUROBI</t>
  </si>
  <si>
    <t>RESP RES</t>
  </si>
  <si>
    <t>RESPIRATION</t>
  </si>
  <si>
    <t>P I MECH ENG A-J POW</t>
  </si>
  <si>
    <t>P I MECH ENG B-J ENG</t>
  </si>
  <si>
    <t>P I MECH ENG C-J MEC</t>
  </si>
  <si>
    <t>P I MECH ENG D-J AUT</t>
  </si>
  <si>
    <t>P I MECH ENG E-J PRO</t>
  </si>
  <si>
    <t>P I MECH ENG F-J RAI</t>
  </si>
  <si>
    <t>P I MECH ENG G-J AER</t>
  </si>
  <si>
    <t>P I MECH ENG H</t>
  </si>
  <si>
    <t>P I MECH ENG J-J ENG</t>
  </si>
  <si>
    <t>P I MECH ENG K-J MUL</t>
  </si>
  <si>
    <t>P JPN ACAD B-PHYS</t>
  </si>
  <si>
    <t>P NATL ACAD SCI USA</t>
  </si>
  <si>
    <t>P NUTR SOC</t>
  </si>
  <si>
    <t>PACE</t>
  </si>
  <si>
    <t>PAEDIATR PERINAT EP</t>
  </si>
  <si>
    <t>PAIN</t>
  </si>
  <si>
    <t>PAIN MED</t>
  </si>
  <si>
    <t>PALLIATIVE MED</t>
  </si>
  <si>
    <t>PANCREAS</t>
  </si>
  <si>
    <t>PANCREATOLOGY</t>
  </si>
  <si>
    <t>PANMINERVA MED</t>
  </si>
  <si>
    <t>PARASITE</t>
  </si>
  <si>
    <t>PARASITE IMMUNOL</t>
  </si>
  <si>
    <t>PARASITOL INT</t>
  </si>
  <si>
    <t>PARASITOL RES</t>
  </si>
  <si>
    <t>PARKINSONISM RELAT D</t>
  </si>
  <si>
    <t>PATHOBIOLOGY</t>
  </si>
  <si>
    <t>PATHOL INT</t>
  </si>
  <si>
    <t>PATHOL ONCOL RES</t>
  </si>
  <si>
    <t>PATHOL RES PRACT</t>
  </si>
  <si>
    <t>PATHOLOGE</t>
  </si>
  <si>
    <t>PATIENT EDUC COUNS</t>
  </si>
  <si>
    <t>PEDIATR ANESTH</t>
  </si>
  <si>
    <t>PEDIATR ANN</t>
  </si>
  <si>
    <t>PEDIATR BLOOD CANCER</t>
  </si>
  <si>
    <t>PEDIATR CARDIOL</t>
  </si>
  <si>
    <t>PEDIATR CLIN N AM</t>
  </si>
  <si>
    <t>PEDIATR DERMATOL</t>
  </si>
  <si>
    <t>PEDIATR DEVEL PATHOL</t>
  </si>
  <si>
    <t>PEDIATR DIABETES</t>
  </si>
  <si>
    <t>PEDIATR EMERG CARE</t>
  </si>
  <si>
    <t>PEDIATR EXERC SCI</t>
  </si>
  <si>
    <t>PEDIATR HEMAT ONCOL</t>
  </si>
  <si>
    <t>PEDIATR INFECT DIS J</t>
  </si>
  <si>
    <t>PEDIATR INT</t>
  </si>
  <si>
    <t>PEDIATR NEPHROL</t>
  </si>
  <si>
    <t>PEDIATR NEUROL</t>
  </si>
  <si>
    <t>PEDIATR NEUROSURG</t>
  </si>
  <si>
    <t>PEDIATR PULM</t>
  </si>
  <si>
    <t>PEDIATR RADIOL</t>
  </si>
  <si>
    <t>PEDIATR RES</t>
  </si>
  <si>
    <t>PEDIATR SURG INT</t>
  </si>
  <si>
    <t>PEDIATR TRANSPLANT</t>
  </si>
  <si>
    <t>PEPTIDES</t>
  </si>
  <si>
    <t>PERCEPTION</t>
  </si>
  <si>
    <t>PERFUSION-UK</t>
  </si>
  <si>
    <t>PERIOD BIOL</t>
  </si>
  <si>
    <t>PERIODONTOL 2000</t>
  </si>
  <si>
    <t>PERITON DIALYSIS INT</t>
  </si>
  <si>
    <t>PERSPECT BIOL MED</t>
  </si>
  <si>
    <t>PERSPECT PSYCHIATR C</t>
  </si>
  <si>
    <t>PESTIC BIOCHEM PHYS</t>
  </si>
  <si>
    <t>PETROL CHEM+</t>
  </si>
  <si>
    <t>PFERDEHEILKUNDE</t>
  </si>
  <si>
    <t>PFLUG ARCH EUR J PHY</t>
  </si>
  <si>
    <t>PHARM BIOL</t>
  </si>
  <si>
    <t>PHARM DEV TECHNOL</t>
  </si>
  <si>
    <t>PHARM STAT</t>
  </si>
  <si>
    <t>PHARMACOECONOMICS</t>
  </si>
  <si>
    <t>PHARMACOEPIDEM DR S</t>
  </si>
  <si>
    <t>PHARMACOGENET GENOM</t>
  </si>
  <si>
    <t>PHARMACOGENOMICS</t>
  </si>
  <si>
    <t>PHARMACOGENOMICS J</t>
  </si>
  <si>
    <t>PHARMACOL BIOCHEM BE</t>
  </si>
  <si>
    <t>PHARMACOL REP</t>
  </si>
  <si>
    <t>PHARMACOL RES</t>
  </si>
  <si>
    <t>PHARMACOL REV</t>
  </si>
  <si>
    <t>PHARMACOL THERAPEUT</t>
  </si>
  <si>
    <t>PHARMACOLOGY</t>
  </si>
  <si>
    <t>PHARMACOPSYCHIATRY</t>
  </si>
  <si>
    <t>PHARMACOTHERAPY</t>
  </si>
  <si>
    <t>PHARMAZIE</t>
  </si>
  <si>
    <t>PHILOS SCI</t>
  </si>
  <si>
    <t>PHILOS T R SOC A</t>
  </si>
  <si>
    <t>PHILOS T R SOC B</t>
  </si>
  <si>
    <t>PHLEBOLOGY</t>
  </si>
  <si>
    <t>PHONETICA</t>
  </si>
  <si>
    <t>PHOTOCH PHOTOBIO SCI</t>
  </si>
  <si>
    <t>PHOTOCHEM PHOTOBIOL</t>
  </si>
  <si>
    <t>PHOTODERMATOL PHOTO</t>
  </si>
  <si>
    <t>PHOTOMED LASER SURG</t>
  </si>
  <si>
    <t>PHOTONIC NETW COMMUN</t>
  </si>
  <si>
    <t>PHYS BIOL</t>
  </si>
  <si>
    <t>PHYS MED BIOL</t>
  </si>
  <si>
    <t>PHYS MED REHAB KUROR</t>
  </si>
  <si>
    <t>PHYS MEDICA</t>
  </si>
  <si>
    <t>PHYS PERSPECT</t>
  </si>
  <si>
    <t>PHYS REV A</t>
  </si>
  <si>
    <t>PHYS THER SPORT</t>
  </si>
  <si>
    <t>PHYSIOL BIOCHEM ZOOL</t>
  </si>
  <si>
    <t>PHYSIOL GENOMICS</t>
  </si>
  <si>
    <t>PHYSIOL MEAS</t>
  </si>
  <si>
    <t>PHYSIOL REV</t>
  </si>
  <si>
    <t>PHYTOCHEM ANALYSIS</t>
  </si>
  <si>
    <t>PHYTOMEDICINE</t>
  </si>
  <si>
    <t>PHYTOTHER RES</t>
  </si>
  <si>
    <t>PLACENTA</t>
  </si>
  <si>
    <t>PLANT BIOTECHNOL J</t>
  </si>
  <si>
    <t>PLANT BREEDING</t>
  </si>
  <si>
    <t>PLANT CELL</t>
  </si>
  <si>
    <t>PLANT CELL PHYSIOL</t>
  </si>
  <si>
    <t>PLANT CELL TISS ORG</t>
  </si>
  <si>
    <t>PLANT FOOD HUM NUTR</t>
  </si>
  <si>
    <t>PLANT MOL BIOL</t>
  </si>
  <si>
    <t>PLANT MOL BIOL REP</t>
  </si>
  <si>
    <t>PLANT SCI</t>
  </si>
  <si>
    <t>PLANTA MED</t>
  </si>
  <si>
    <t>PLASMID</t>
  </si>
  <si>
    <t>PLAST RECONSTR SURG</t>
  </si>
  <si>
    <t>PLATELETS</t>
  </si>
  <si>
    <t>PLOS BIOL</t>
  </si>
  <si>
    <t>PLOS COMPUT BIOL</t>
  </si>
  <si>
    <t>PLOS GENET</t>
  </si>
  <si>
    <t>PLOS MED</t>
  </si>
  <si>
    <t>PLOS PATHOG</t>
  </si>
  <si>
    <t>POLYCYCL AROMAT COMP</t>
  </si>
  <si>
    <t>POSTGRAD MED J</t>
  </si>
  <si>
    <t>PRENATAL DIAG</t>
  </si>
  <si>
    <t>PREP BIOCHEM BIOTECH</t>
  </si>
  <si>
    <t>PRESSE MED</t>
  </si>
  <si>
    <t>PREV MED</t>
  </si>
  <si>
    <t>PREV VET MED</t>
  </si>
  <si>
    <t>PRIMARY CARE</t>
  </si>
  <si>
    <t>PROBAB ENG INFORM SC</t>
  </si>
  <si>
    <t>PROBAB THEORY REL</t>
  </si>
  <si>
    <t>PROBABILIST ENG MECH</t>
  </si>
  <si>
    <t>PROCESS BIOCHEM</t>
  </si>
  <si>
    <t>PROG BIOCHEM BIOPHYS</t>
  </si>
  <si>
    <t>PROG BIOPHYS MOL BIO</t>
  </si>
  <si>
    <t>PROG CARDIOVASC DIS</t>
  </si>
  <si>
    <t>PROG CHEM</t>
  </si>
  <si>
    <t>PROG ENERG COMBUST</t>
  </si>
  <si>
    <t>PROG LIPID RES</t>
  </si>
  <si>
    <t>PROG NEUROBIOL</t>
  </si>
  <si>
    <t>PROG NEURO-PSYCHOPH</t>
  </si>
  <si>
    <t>PROG RETIN EYE RES</t>
  </si>
  <si>
    <t>PROG UROL</t>
  </si>
  <si>
    <t>PROSTAG LEUKOTR ESS</t>
  </si>
  <si>
    <t>PROSTAG OTH LIPID M</t>
  </si>
  <si>
    <t>J SWINE HEALTH PROD</t>
  </si>
  <si>
    <t>J SYN ORG CHEM JPN</t>
  </si>
  <si>
    <t>J SYNCHROTRON RADIAT</t>
  </si>
  <si>
    <t>J TEACH PHYS EDUC</t>
  </si>
  <si>
    <t>J TELEMED TELECARE</t>
  </si>
  <si>
    <t>J THEOR BIOL</t>
  </si>
  <si>
    <t>J THEOR COMPUT CHEM</t>
  </si>
  <si>
    <t>J THEOR PROBAB</t>
  </si>
  <si>
    <t>J THERM ANAL CALORIM</t>
  </si>
  <si>
    <t>J THERM BIOL</t>
  </si>
  <si>
    <t>J THERMOPHYS HEAT TR</t>
  </si>
  <si>
    <t>J THORAC CARDIOV SUR</t>
  </si>
  <si>
    <t>J THORAC IMAG</t>
  </si>
  <si>
    <t>J THORAC ONCOL</t>
  </si>
  <si>
    <t>J THROMB HAEMOST</t>
  </si>
  <si>
    <t>J THROMB THROMBOLYS</t>
  </si>
  <si>
    <t>J TIME SER ANAL</t>
  </si>
  <si>
    <t>J TRACE ELEM MED BIO</t>
  </si>
  <si>
    <t>J TRAVEL MED</t>
  </si>
  <si>
    <t>J TRIBOL-T ASME</t>
  </si>
  <si>
    <t>J TROP PEDIATRICS</t>
  </si>
  <si>
    <t>J TURBOMACH</t>
  </si>
  <si>
    <t>J ULTRAS MED</t>
  </si>
  <si>
    <t>J URBAN HEALTH</t>
  </si>
  <si>
    <t>J UROLOGY</t>
  </si>
  <si>
    <t>J VASC INTERV RADIOL</t>
  </si>
  <si>
    <t>J VASC RES</t>
  </si>
  <si>
    <t>J VASC SURG</t>
  </si>
  <si>
    <t>J VESTIBUL RES-EQUIL</t>
  </si>
  <si>
    <t>J VET DENT</t>
  </si>
  <si>
    <t>J VET DIAGN INVEST</t>
  </si>
  <si>
    <t>J VET EMERG CRIT CAR</t>
  </si>
  <si>
    <t>J VET INTERN MED</t>
  </si>
  <si>
    <t>J VET MED EDUC</t>
  </si>
  <si>
    <t>J VET MED SCI</t>
  </si>
  <si>
    <t>J VET PHARMACOL THER</t>
  </si>
  <si>
    <t>J VIB ACOUST</t>
  </si>
  <si>
    <t>J VIB CONTROL</t>
  </si>
  <si>
    <t>J VIRAL HEPATITIS</t>
  </si>
  <si>
    <t>J VIROL</t>
  </si>
  <si>
    <t>J VIROL METHODS</t>
  </si>
  <si>
    <t>J VISION</t>
  </si>
  <si>
    <t>J VOICE</t>
  </si>
  <si>
    <t>J WILDLIFE DIS</t>
  </si>
  <si>
    <t>J WOMENS HEALTH</t>
  </si>
  <si>
    <t>J ZOO WILDLIFE MED</t>
  </si>
  <si>
    <t>JAIDS-J ACQ IMM DEF</t>
  </si>
  <si>
    <t>JAMA-J AM MED ASSOC</t>
  </si>
  <si>
    <t>JARO-J ASSOC RES OTO</t>
  </si>
  <si>
    <t>JAVMA-J AM VET MED A</t>
  </si>
  <si>
    <t>JCR-J CLIN RHEUMATOL</t>
  </si>
  <si>
    <t>JOGNN-J OBST GYN NEO</t>
  </si>
  <si>
    <t>JOINT BONE SPINE</t>
  </si>
  <si>
    <t>JPC-J PLANAR CHROMAT</t>
  </si>
  <si>
    <t>JPN J CLIN ONCOL</t>
  </si>
  <si>
    <t>JPN J INFECT DIS</t>
  </si>
  <si>
    <t>JPN J OPHTHALMOL</t>
  </si>
  <si>
    <t>JPN J VET RES</t>
  </si>
  <si>
    <t>KARDIOLOGIYA</t>
  </si>
  <si>
    <t>KIDNEY BLOOD PRESS R</t>
  </si>
  <si>
    <t>KIDNEY INT</t>
  </si>
  <si>
    <t>KLEINTIERPRAXIS</t>
  </si>
  <si>
    <t>KLIN MONATSBL AUGENH</t>
  </si>
  <si>
    <t>KLIN NEUROPHYSIOL</t>
  </si>
  <si>
    <t>KLIN PADIATR</t>
  </si>
  <si>
    <t>KNEE</t>
  </si>
  <si>
    <t>KNEE SURG SPORT TR A</t>
  </si>
  <si>
    <t>KOREAN J CHEM ENG</t>
  </si>
  <si>
    <t>KOREAN J RADIOL</t>
  </si>
  <si>
    <t>LAB ANIMAL</t>
  </si>
  <si>
    <t>LAB ANIM-UK</t>
  </si>
  <si>
    <t>LAB CHIP</t>
  </si>
  <si>
    <t>LAB INVEST</t>
  </si>
  <si>
    <t>LANCET</t>
  </si>
  <si>
    <t>LANCET INFECT DIS</t>
  </si>
  <si>
    <t>LANCET NEUROL</t>
  </si>
  <si>
    <t>LANCET ONCOL</t>
  </si>
  <si>
    <t>LANGENBECK ARCH SURG</t>
  </si>
  <si>
    <t>LARYNGO RHINO OTOL</t>
  </si>
  <si>
    <t>LARYNGOSCOPE</t>
  </si>
  <si>
    <t>LASER ENG</t>
  </si>
  <si>
    <t>LASER FOCUS WORLD</t>
  </si>
  <si>
    <t>LASER MED SCI</t>
  </si>
  <si>
    <t>LASER PHYS</t>
  </si>
  <si>
    <t>LASER SURG MED</t>
  </si>
  <si>
    <t>LEARN MEMORY</t>
  </si>
  <si>
    <t>LEPROSY REV</t>
  </si>
  <si>
    <t>LETT APPL MICROBIOL</t>
  </si>
  <si>
    <t>LETT ORG CHEM</t>
  </si>
  <si>
    <t>LEUKEMIA</t>
  </si>
  <si>
    <t>LEUKEMIA LYMPHOMA</t>
  </si>
  <si>
    <t>LEUKEMIA RES</t>
  </si>
  <si>
    <t>LEUKOS</t>
  </si>
  <si>
    <t>LICHENOLOGIST</t>
  </si>
  <si>
    <t>LIFE SCI</t>
  </si>
  <si>
    <t>LIFETIME DATA ANAL</t>
  </si>
  <si>
    <t>LIPIDS</t>
  </si>
  <si>
    <t>LIVER INT</t>
  </si>
  <si>
    <t>LIVER TRANSPLANT</t>
  </si>
  <si>
    <t>LUMINESCENCE</t>
  </si>
  <si>
    <t>LUNG</t>
  </si>
  <si>
    <t>LUNG CANCER</t>
  </si>
  <si>
    <t>LUPUS</t>
  </si>
  <si>
    <t>LYMPHOLOGY</t>
  </si>
  <si>
    <t>M S-MED SCI</t>
  </si>
  <si>
    <t>MACH SCI TECHNOL</t>
  </si>
  <si>
    <t>MACROMOL BIOSCI</t>
  </si>
  <si>
    <t>MAGN RESON CHEM</t>
  </si>
  <si>
    <t>MAGN RESON IMAGING</t>
  </si>
  <si>
    <t>MAGN RESON MATER PHY</t>
  </si>
  <si>
    <t>MAGN RESON MED</t>
  </si>
  <si>
    <t>MAGNESIUM RES</t>
  </si>
  <si>
    <t>MAGY ALLATORVOSOK</t>
  </si>
  <si>
    <t>MAIN GROUP MET CHEM</t>
  </si>
  <si>
    <t>MALARIA J</t>
  </si>
  <si>
    <t>MAMM GENOME</t>
  </si>
  <si>
    <t>MAR BIOTECHNOL</t>
  </si>
  <si>
    <t>MAR CHEM</t>
  </si>
  <si>
    <t>MAR ENVIRON RES</t>
  </si>
  <si>
    <t>MATCH-COMMUN MATH CO</t>
  </si>
  <si>
    <t>MATERN CHILD NUTR</t>
  </si>
  <si>
    <t>MATH BIOSCI</t>
  </si>
  <si>
    <t>MATH MECH SOLIDS</t>
  </si>
  <si>
    <t>MATH MED BIOL</t>
  </si>
  <si>
    <t>MATRIX BIOL</t>
  </si>
  <si>
    <t>MATURITAS</t>
  </si>
  <si>
    <t>MAYO CLIN PROC</t>
  </si>
  <si>
    <t>MECH AGEING DEV</t>
  </si>
  <si>
    <t>MECH DEVELOP</t>
  </si>
  <si>
    <t>MECH ENG</t>
  </si>
  <si>
    <t>MECH MACH THEORY</t>
  </si>
  <si>
    <t>MECH SYST SIGNAL PR</t>
  </si>
  <si>
    <t>MECHATRONICS</t>
  </si>
  <si>
    <t>MED BIOL ENG COMPUT</t>
  </si>
  <si>
    <t>MED CARE</t>
  </si>
  <si>
    <t>MED CARE RES REV</t>
  </si>
  <si>
    <t>MED CHEM RES</t>
  </si>
  <si>
    <t>MED CLIN N AM</t>
  </si>
  <si>
    <t>MED CLIN-BARCELONA</t>
  </si>
  <si>
    <t>MED DECIS MAKING</t>
  </si>
  <si>
    <t>MED EDUC</t>
  </si>
  <si>
    <t>MED ENG PHYS</t>
  </si>
  <si>
    <t>MED HIST</t>
  </si>
  <si>
    <t>MED HYPOTHESES</t>
  </si>
  <si>
    <t>MED IMAGE ANAL</t>
  </si>
  <si>
    <t>MED J AUSTRALIA</t>
  </si>
  <si>
    <t>MED LETT DRUGS THER</t>
  </si>
  <si>
    <t>MED MALADIES INFECT</t>
  </si>
  <si>
    <t>MED MICROBIOL IMMUN</t>
  </si>
  <si>
    <t>MED MOL MORPHOL</t>
  </si>
  <si>
    <t>MED MYCOL</t>
  </si>
  <si>
    <t>MED ONCOL</t>
  </si>
  <si>
    <t>MED PHYS</t>
  </si>
  <si>
    <t>MED PRIN PRACT</t>
  </si>
  <si>
    <t>MED PROBL PERFORM AR</t>
  </si>
  <si>
    <t>MED RES REV</t>
  </si>
  <si>
    <t>MED SCI LAW</t>
  </si>
  <si>
    <t>MED SCI MONITOR</t>
  </si>
  <si>
    <t>MED SCI SPORT EXER</t>
  </si>
  <si>
    <t>MED SPORT</t>
  </si>
  <si>
    <t>MED TEACH</t>
  </si>
  <si>
    <t>MED VET ENTOMOL</t>
  </si>
  <si>
    <t>MEDIAT INFLAMM</t>
  </si>
  <si>
    <t>MEDICINA-BUENOS AIRE</t>
  </si>
  <si>
    <t>SPEECH COMMUN</t>
  </si>
  <si>
    <t>SPINAL CORD</t>
  </si>
  <si>
    <t>SPINE</t>
  </si>
  <si>
    <t>SPORT EDUC SOC</t>
  </si>
  <si>
    <t>SPORT PSYCHOL</t>
  </si>
  <si>
    <t>SPORTS MED</t>
  </si>
  <si>
    <t>SPORTS MED ARTHROSC</t>
  </si>
  <si>
    <t>SPORTVERLETZ SPORTSC</t>
  </si>
  <si>
    <t>STAT COMPUT</t>
  </si>
  <si>
    <t>STAT MED</t>
  </si>
  <si>
    <t>STAT METHODS MED RES</t>
  </si>
  <si>
    <t>STAT MODEL</t>
  </si>
  <si>
    <t>STAT NEERL</t>
  </si>
  <si>
    <t>STAT PAP</t>
  </si>
  <si>
    <t>STAT PROBABIL LETT</t>
  </si>
  <si>
    <t>STAT SCI</t>
  </si>
  <si>
    <t>STAT SINICA</t>
  </si>
  <si>
    <t>STATISTICS</t>
  </si>
  <si>
    <t>STEM CELLS</t>
  </si>
  <si>
    <t>STEM CELLS DEV</t>
  </si>
  <si>
    <t>STEREOT FUNCT NEUROS</t>
  </si>
  <si>
    <t>STEROIDS</t>
  </si>
  <si>
    <t>STOCH ANAL APPL</t>
  </si>
  <si>
    <t>STOCH ENV RES RISK A</t>
  </si>
  <si>
    <t>STOCH MODELS</t>
  </si>
  <si>
    <t>STOCH PROC APPL</t>
  </si>
  <si>
    <t>STRAHLENTHER ONKOL</t>
  </si>
  <si>
    <t>STRESS</t>
  </si>
  <si>
    <t>STRESS HEALTH</t>
  </si>
  <si>
    <t>STROJ VESTN-J MECH E</t>
  </si>
  <si>
    <t>STROKE</t>
  </si>
  <si>
    <t>STRUCT CHEM</t>
  </si>
  <si>
    <t>STRUCT ENG MECH</t>
  </si>
  <si>
    <t>STRUCT INFRASTRUCT E</t>
  </si>
  <si>
    <t>STRUCTURE</t>
  </si>
  <si>
    <t>STUD CONSERV</t>
  </si>
  <si>
    <t>STUD HIST PHILOS M P</t>
  </si>
  <si>
    <t>STUD HIST PHILOS SCI</t>
  </si>
  <si>
    <t>STUD MYCOL</t>
  </si>
  <si>
    <t>SUBST USE MISUSE</t>
  </si>
  <si>
    <t>SUPPORT CARE CANCER</t>
  </si>
  <si>
    <t>SUPRAMOL CHEM</t>
  </si>
  <si>
    <t>SURG CLIN N AM</t>
  </si>
  <si>
    <t>SURG ENDOSC</t>
  </si>
  <si>
    <t>SURG LAPARO ENDO PER</t>
  </si>
  <si>
    <t>SURG ONCOL</t>
  </si>
  <si>
    <t>SURG RADIOL ANAT</t>
  </si>
  <si>
    <t>SURG TODAY</t>
  </si>
  <si>
    <t>SURG-J R COLL SURG E</t>
  </si>
  <si>
    <t>SURV OPHTHALMOL</t>
  </si>
  <si>
    <t>SWISS MED WKLY</t>
  </si>
  <si>
    <t>SYMBIOSIS</t>
  </si>
  <si>
    <t>SYNAPSE</t>
  </si>
  <si>
    <t>SYNLETT</t>
  </si>
  <si>
    <t>SYNTHESE</t>
  </si>
  <si>
    <t>SYNTHESIS-STUTTGART</t>
  </si>
  <si>
    <t>SYNTHETIC COMMUN</t>
  </si>
  <si>
    <t>SYST APPL MICROBIOL</t>
  </si>
  <si>
    <t>SYST PARASITOL</t>
  </si>
  <si>
    <t>T CAN SOC MECH ENG</t>
  </si>
  <si>
    <t>T ROY SOC SOUTH AUST</t>
  </si>
  <si>
    <t>T ROY SOC TROP MED H</t>
  </si>
  <si>
    <t>TALANTA</t>
  </si>
  <si>
    <t>TEACH LEARN MED</t>
  </si>
  <si>
    <t>TECHNOL ANAL STRATEG</t>
  </si>
  <si>
    <t>TECHNOL CANCER RES T</t>
  </si>
  <si>
    <t>TECHNOL CULT</t>
  </si>
  <si>
    <t>TECHNOMETRICS</t>
  </si>
  <si>
    <t>TERAPEVT ARKH</t>
  </si>
  <si>
    <t>CURR DRUG METAB</t>
  </si>
  <si>
    <t>CURR DRUG TARGETS</t>
  </si>
  <si>
    <t>CURR EYE RES</t>
  </si>
  <si>
    <t>CURR GENE THER</t>
  </si>
  <si>
    <t>CURR GENET</t>
  </si>
  <si>
    <t>CURR GENOMICS</t>
  </si>
  <si>
    <t>CURR HIV RES</t>
  </si>
  <si>
    <t>CURR HYPERTENS REP</t>
  </si>
  <si>
    <t>CURR ISSUES MOL BIOL</t>
  </si>
  <si>
    <t>CURR MED CHEM</t>
  </si>
  <si>
    <t>CURR MED RES OPIN</t>
  </si>
  <si>
    <t>CURR MICROBIOL</t>
  </si>
  <si>
    <t>CURR MOL MED</t>
  </si>
  <si>
    <t>CURR NANOSCI</t>
  </si>
  <si>
    <t>CURR NEUROPHARMACOL</t>
  </si>
  <si>
    <t>CURR NEUROVASC RES</t>
  </si>
  <si>
    <t>CURR OPIN BIOTECH</t>
  </si>
  <si>
    <t>CURR OPIN CARDIOL</t>
  </si>
  <si>
    <t>CURR OPIN CELL BIOL</t>
  </si>
  <si>
    <t>CURR OPIN CHEM BIOL</t>
  </si>
  <si>
    <t>CURR OPIN CLIN NUTR</t>
  </si>
  <si>
    <t>CURR OPIN GASTROEN</t>
  </si>
  <si>
    <t>CURR OPIN GENET DEV</t>
  </si>
  <si>
    <t>CURR OPIN HEMATOL</t>
  </si>
  <si>
    <t>CURR OPIN IMMUNOL</t>
  </si>
  <si>
    <t>CURR OPIN INFECT DIS</t>
  </si>
  <si>
    <t>CURR OPIN LIPIDOL</t>
  </si>
  <si>
    <t>CURR OPIN MICROBIOL</t>
  </si>
  <si>
    <t>CURR OPIN NEPHROL HY</t>
  </si>
  <si>
    <t>CURR OPIN NEUROBIOL</t>
  </si>
  <si>
    <t>CURR OPIN NEUROL</t>
  </si>
  <si>
    <t>CURR OPIN OBSTET GYN</t>
  </si>
  <si>
    <t>CURR OPIN ONCOL</t>
  </si>
  <si>
    <t>CURR OPIN PEDIATR</t>
  </si>
  <si>
    <t>CURR OPIN PHARMACOL</t>
  </si>
  <si>
    <t>CURR OPIN PSYCHIATR</t>
  </si>
  <si>
    <t>CURR OPIN PULM MED</t>
  </si>
  <si>
    <t>CURR OPIN RHEUMATOL</t>
  </si>
  <si>
    <t>CURR OPIN STRUC BIOL</t>
  </si>
  <si>
    <t>CURR OPIN UROL</t>
  </si>
  <si>
    <t>CURR ORG CHEM</t>
  </si>
  <si>
    <t>CURR ORG SYNTH</t>
  </si>
  <si>
    <t>CURR PHARM ANAL</t>
  </si>
  <si>
    <t>CURR PHARM BIOTECHNO</t>
  </si>
  <si>
    <t>CURR PHARM DESIGN</t>
  </si>
  <si>
    <t>CURR PROB CANCER</t>
  </si>
  <si>
    <t>CURR PROB CARDIOLOGY</t>
  </si>
  <si>
    <t>CURR PROB SURG</t>
  </si>
  <si>
    <t>CURR PROTEIN PEPT SC</t>
  </si>
  <si>
    <t>CURR SCI INDIA</t>
  </si>
  <si>
    <t>CURR TOP MED CHEM</t>
  </si>
  <si>
    <t>CURR TOP MEMBR</t>
  </si>
  <si>
    <t>CURR TOP MICROBIOL</t>
  </si>
  <si>
    <t>CURR VASC PHARMACOL</t>
  </si>
  <si>
    <t>CUTAN OCUL TOXICOL</t>
  </si>
  <si>
    <t>CYTOGENET GENOME RES</t>
  </si>
  <si>
    <t>CYTOKINE</t>
  </si>
  <si>
    <t>CYTOKINE GROWTH F R</t>
  </si>
  <si>
    <t>CYTOM PART A</t>
  </si>
  <si>
    <t>CYTOM PART B-CLIN CY</t>
  </si>
  <si>
    <t>CYTOPATHOLOGY</t>
  </si>
  <si>
    <t>CYTOTECHNOLOGY</t>
  </si>
  <si>
    <t>CYTOTHERAPY</t>
  </si>
  <si>
    <t>DEFENCE SCI J</t>
  </si>
  <si>
    <t>DEMENT GERIATR COGN</t>
  </si>
  <si>
    <t>DENT MATER</t>
  </si>
  <si>
    <t>DENT TRAUMATOL</t>
  </si>
  <si>
    <t>DENTOMAXILLOFAC RAD</t>
  </si>
  <si>
    <t>DEPRESS ANXIETY</t>
  </si>
  <si>
    <t>DERMATOL CLIN</t>
  </si>
  <si>
    <t>DERMATOL SURG</t>
  </si>
  <si>
    <t>DERMATOLOGY</t>
  </si>
  <si>
    <t>DEUT MED WOCHENSCHR</t>
  </si>
  <si>
    <t>3 BIOTECH</t>
  </si>
  <si>
    <t>3 Biotech</t>
  </si>
  <si>
    <t>ABDOM RADIOL</t>
  </si>
  <si>
    <t>Abdominal Radiology</t>
  </si>
  <si>
    <t>ACAD PEDIATR</t>
  </si>
  <si>
    <t>Academic Pediatrics</t>
  </si>
  <si>
    <t>ACCOUNT RES</t>
  </si>
  <si>
    <t>Accountability in Research-Policies and Quality Assurance</t>
  </si>
  <si>
    <t>ACM J COMPUT CULT HE</t>
  </si>
  <si>
    <t>ACM Journal on Computing and Cultural Heritage</t>
  </si>
  <si>
    <t>ACM T COMPUT EDUC</t>
  </si>
  <si>
    <t>ACM Transactions on Computing Education</t>
  </si>
  <si>
    <t>ACM T MODEL COMPUT S</t>
  </si>
  <si>
    <t>ACM Transactions on Modeling and Computer Simulation</t>
  </si>
  <si>
    <t>ACS CENTRAL SCI</t>
  </si>
  <si>
    <t>ACS Central Science</t>
  </si>
  <si>
    <t>ACS CHEM NEUROSCI</t>
  </si>
  <si>
    <t>ACS Chemical Neuroscience</t>
  </si>
  <si>
    <t>ACS COMB SCI</t>
  </si>
  <si>
    <t>ACS Combinatorial Science</t>
  </si>
  <si>
    <t>ACS EARTH SPACE CHEM</t>
  </si>
  <si>
    <t>ACS Earth and Space Chemistry</t>
  </si>
  <si>
    <t>ACS INFECT DIS</t>
  </si>
  <si>
    <t>ACS Infectious Diseases</t>
  </si>
  <si>
    <t>ACS MED CHEM LETT</t>
  </si>
  <si>
    <t>ACS Medicinal Chemistry Letters</t>
  </si>
  <si>
    <t>ACS OMEGA</t>
  </si>
  <si>
    <t>ACS Omega</t>
  </si>
  <si>
    <t>ACS PHOTONICS</t>
  </si>
  <si>
    <t>ACS Photonics</t>
  </si>
  <si>
    <t>ACS SENSORS</t>
  </si>
  <si>
    <t>ACS Sensors</t>
  </si>
  <si>
    <t>ACS SUSTAIN CHEM ENG</t>
  </si>
  <si>
    <t>ACS Sustainable Chemistry &amp; Engineering</t>
  </si>
  <si>
    <t>ACS SYNTH BIOL</t>
  </si>
  <si>
    <t>ACS Synthetic Biology</t>
  </si>
  <si>
    <t>ACTA BIOENG BIOMECH</t>
  </si>
  <si>
    <t>Acta of Bioengineering and Biomechanics</t>
  </si>
  <si>
    <t>ACTA BIOQUIM CLIN L</t>
  </si>
  <si>
    <t>ACTA BIOQUIMICA CLINICA LATINOAMERICANA</t>
  </si>
  <si>
    <t>ACTA CRYSTALLOGR A</t>
  </si>
  <si>
    <t>Acta Crystallographica A-Foundation and Advances</t>
  </si>
  <si>
    <t>ACTA CRYSTALLOGR B</t>
  </si>
  <si>
    <t>Acta Crystallographica Section B-Structural Science Crystal Engineering and Materials</t>
  </si>
  <si>
    <t>ACTA CRYSTALLOGR C</t>
  </si>
  <si>
    <t>Acta Crystallographica Section C-Structural Chemistry</t>
  </si>
  <si>
    <t>Acta Crystallographica Section D-Structural Biology</t>
  </si>
  <si>
    <t>Acta Crystallographica Section F-Structural Biology Communications</t>
  </si>
  <si>
    <t>ACTA MEDICA PORT</t>
  </si>
  <si>
    <t>Acta Medica Portuguesa</t>
  </si>
  <si>
    <t>ACTA MICROBIOL IMM H</t>
  </si>
  <si>
    <t>ACTA MICROBIOLOGICA ET IMMUNOLOGICA HUNGARICA</t>
  </si>
  <si>
    <t>ACTA NATURAE</t>
  </si>
  <si>
    <t>Acta Naturae</t>
  </si>
  <si>
    <t>ACTA NEUROPATHOL COM</t>
  </si>
  <si>
    <t>Acta Neuropathologica Communications</t>
  </si>
  <si>
    <t>ACTA ORTHOP TRAUMATO</t>
  </si>
  <si>
    <t>Acta Orthopaedica et Traumatologica Turcica</t>
  </si>
  <si>
    <t>ACTA ORTOP BRAS</t>
  </si>
  <si>
    <t>Acta Ortopedica Brasileira</t>
  </si>
  <si>
    <t>ACTA OTORHINOLARYNGO</t>
  </si>
  <si>
    <t>Acta Otorhinolaryngologica Italica</t>
  </si>
  <si>
    <t>ACTA PAUL ENFERM</t>
  </si>
  <si>
    <t>Acta Paulista de Enfermagem</t>
  </si>
  <si>
    <t>ACTA PHARMACEUT</t>
  </si>
  <si>
    <t>ACTA PHARMACEUTICA</t>
  </si>
  <si>
    <t>ACTA PHARM SIN B</t>
  </si>
  <si>
    <t>Acta Pharmaceutica Sinica B</t>
  </si>
  <si>
    <t>ACTA SCI VET</t>
  </si>
  <si>
    <t>Acta Scientiae Veterinariae</t>
  </si>
  <si>
    <t>ACTAS UROL ESP</t>
  </si>
  <si>
    <t>Actas Urologicas Espanolas</t>
  </si>
  <si>
    <t>ACTA ZOOL-STOCKHOLM</t>
  </si>
  <si>
    <t>ACTA ZOOLOGICA</t>
  </si>
  <si>
    <t>ACTION RES-LONDON</t>
  </si>
  <si>
    <t>Action Research</t>
  </si>
  <si>
    <t>ACTUATORS</t>
  </si>
  <si>
    <t>Actuators</t>
  </si>
  <si>
    <t>ACUPUNCT MED</t>
  </si>
  <si>
    <t>Acupuncture in Medicine</t>
  </si>
  <si>
    <t>ADDICT SCI CLIN PRAC</t>
  </si>
  <si>
    <t>Addiction Science &amp; Clinical Practice</t>
  </si>
  <si>
    <t>ADICCIONES</t>
  </si>
  <si>
    <t>Adicciones</t>
  </si>
  <si>
    <t>ADIPOCYTE</t>
  </si>
  <si>
    <t>Adipocyte</t>
  </si>
  <si>
    <t>Administration and Policy in Mental Health and Mental Health Services Research</t>
  </si>
  <si>
    <t>Advances in Anatomy Embryology and Cell Biology</t>
  </si>
  <si>
    <t>Advances in Applied Mechanics</t>
  </si>
  <si>
    <t>Advances in Applied Microbiology</t>
  </si>
  <si>
    <t>ADV ATOM MOL OPT PHY</t>
  </si>
  <si>
    <t>Advances In Atomic Molecular and Optical Physics</t>
  </si>
  <si>
    <t>Advances in Biochemical Engineering-Biotechnology</t>
  </si>
  <si>
    <t>Advances in Cancer Research</t>
  </si>
  <si>
    <t>Advances in Carbohydrate Chemistry and Biochemistry</t>
  </si>
  <si>
    <t>Advances in Child Development and Behavior</t>
  </si>
  <si>
    <t>Advances in Clinical Chemistry</t>
  </si>
  <si>
    <t>ADV COGN PSYCHOL</t>
  </si>
  <si>
    <t>Advances in Cognitive Psychology</t>
  </si>
  <si>
    <t>ADV DATA ANAL CLASSI</t>
  </si>
  <si>
    <t>Advances in Data Analysis and Classification</t>
  </si>
  <si>
    <t>Advances in Experimental Medicine and Biology</t>
  </si>
  <si>
    <t>ADV GENET</t>
  </si>
  <si>
    <t>Advances in Genetics</t>
  </si>
  <si>
    <t>ADV HEALTHC MATER</t>
  </si>
  <si>
    <t>Advanced Healthcare Materials</t>
  </si>
  <si>
    <t>Advances in Heterocyclic Chemistry</t>
  </si>
  <si>
    <t>Advances in Immunology</t>
  </si>
  <si>
    <t>ADV LIFE COURSE RES</t>
  </si>
  <si>
    <t>Advances in Life Course Research</t>
  </si>
  <si>
    <t>ADV MATER INTERFACES</t>
  </si>
  <si>
    <t>Advanced Materials Interfaces</t>
  </si>
  <si>
    <t>ADV MECH ENG</t>
  </si>
  <si>
    <t>Advances in Mechanical Engineering</t>
  </si>
  <si>
    <t>ADV MED SCI-POLAND</t>
  </si>
  <si>
    <t>Advances in Medical Sciences</t>
  </si>
  <si>
    <t>Advances in Microbial Physiology</t>
  </si>
  <si>
    <t>ADV NEONAT CARE</t>
  </si>
  <si>
    <t>Advances in Neonatal Care</t>
  </si>
  <si>
    <t>ADV NUTR</t>
  </si>
  <si>
    <t>Advances in Nutrition</t>
  </si>
  <si>
    <t>ADV OPT MATER</t>
  </si>
  <si>
    <t>Advanced Optical Materials</t>
  </si>
  <si>
    <t>ADV OPT PHOTONICS</t>
  </si>
  <si>
    <t>Advances in Optics and Photonics</t>
  </si>
  <si>
    <t>Advances in Organometallic Chemistry</t>
  </si>
  <si>
    <t>Advances in Parasitology</t>
  </si>
  <si>
    <t>Advances in Physical Organic Chemistry</t>
  </si>
  <si>
    <t>ADV PROTEIN CHEM STR</t>
  </si>
  <si>
    <t>Advances in Protein Chemistry and Structural Biology</t>
  </si>
  <si>
    <t>ADV RHEUMATOL</t>
  </si>
  <si>
    <t>Advances in Rheumatology</t>
  </si>
  <si>
    <t>ADV SCI</t>
  </si>
  <si>
    <t>Advanced Science</t>
  </si>
  <si>
    <t>ADV SKIN WOUND CARE</t>
  </si>
  <si>
    <t>Advances in Skin &amp; Wound Care</t>
  </si>
  <si>
    <t>ADV THEOR SIMUL</t>
  </si>
  <si>
    <t>Advanced Theory and Simulations</t>
  </si>
  <si>
    <t>Advances in Virus Research</t>
  </si>
  <si>
    <t>ADV WOUND CARE</t>
  </si>
  <si>
    <t>Advances in Wound Care</t>
  </si>
  <si>
    <t>AEROSP MED HUM PERF</t>
  </si>
  <si>
    <t>Aerospace Medicine and Human Performance</t>
  </si>
  <si>
    <t>AESTHET SURG J</t>
  </si>
  <si>
    <t>Aesthetic Surgery Journal</t>
  </si>
  <si>
    <t>AFR HEALTH SCI</t>
  </si>
  <si>
    <t>African Health Sciences</t>
  </si>
  <si>
    <t>AFR J EMERG MED</t>
  </si>
  <si>
    <t>African Journal of Emergency Medicine</t>
  </si>
  <si>
    <t>AFR J LIBR ARCH INFO</t>
  </si>
  <si>
    <t>African Journal of Library Archives and Information Science</t>
  </si>
  <si>
    <t>AFR J REPROD HEALTH</t>
  </si>
  <si>
    <t>African Journal of Reproductive Health</t>
  </si>
  <si>
    <t>AGING DIS</t>
  </si>
  <si>
    <t>Aging and Disease</t>
  </si>
  <si>
    <t>AGING-US</t>
  </si>
  <si>
    <t>Aging-US</t>
  </si>
  <si>
    <t>AIDS RES THER</t>
  </si>
  <si>
    <t>AIDS Research and Therapy</t>
  </si>
  <si>
    <t>AI EDAM-ARTIFICIAL INTELLIGENCE FOR ENGINEERING DESIGN ANALYSIS AND MANUFACTURING</t>
  </si>
  <si>
    <t>AJIDD-AM J INTELLECT</t>
  </si>
  <si>
    <t>AJIDD-American Journal on Intellectual and Developmental Disabilities</t>
  </si>
  <si>
    <t>ALCOHOL RES-CURR REV</t>
  </si>
  <si>
    <t>Alcohol Research-Current Reviews</t>
  </si>
  <si>
    <t>ALEA-LAT AM J PROBAB</t>
  </si>
  <si>
    <t>ALEA-Latin American Journal of Probability and Mathematical Statistics</t>
  </si>
  <si>
    <t>ALGAL RES</t>
  </si>
  <si>
    <t>Algal Research-Biomass Biofuels and Bioproducts</t>
  </si>
  <si>
    <t>ALLERGOL INT</t>
  </si>
  <si>
    <t>ALLERGOLOGY INTERNATIONAL</t>
  </si>
  <si>
    <t>ALLERGY ASTHMA CL IM</t>
  </si>
  <si>
    <t>Allergy Asthma and Clinical Immunology</t>
  </si>
  <si>
    <t>ALLERGY ASTHMA IMMUN</t>
  </si>
  <si>
    <t>Allergy Asthma &amp; Immunology Research</t>
  </si>
  <si>
    <t>ALTERN THER HEALTH M</t>
  </si>
  <si>
    <t>ALTERNATIVE THERAPIES IN HEALTH AND MEDICINE</t>
  </si>
  <si>
    <t>ALTEX-ALTERN ANIM EX</t>
  </si>
  <si>
    <t>ALTEX-Alternatives to Animal Experimentation</t>
  </si>
  <si>
    <t>ALZHEIMERS RES THER</t>
  </si>
  <si>
    <t>Alzheimers Research &amp; Therapy</t>
  </si>
  <si>
    <t>AMB EXPRESS</t>
  </si>
  <si>
    <t>AMB Express</t>
  </si>
  <si>
    <t>AMBIX</t>
  </si>
  <si>
    <t>Ambix</t>
  </si>
  <si>
    <t>AM HEALTH DRUG BENEF</t>
  </si>
  <si>
    <t>American Health and Drug Benefits</t>
  </si>
  <si>
    <t>AM J ALZHEIMERS DIS</t>
  </si>
  <si>
    <t>American Journal of Alzheimers Disease and Other Dementias</t>
  </si>
  <si>
    <t>AM J AUDIOL</t>
  </si>
  <si>
    <t>American Journal of Audiology</t>
  </si>
  <si>
    <t>AM J CANCER RES</t>
  </si>
  <si>
    <t>American Journal of Cancer Research</t>
  </si>
  <si>
    <t>AM J CLIN HYPN</t>
  </si>
  <si>
    <t>AMERICAN JOURNAL OF CLINICAL HYPNOSIS</t>
  </si>
  <si>
    <t>AM J HEALTH ECON</t>
  </si>
  <si>
    <t>American Journal of Health Economics</t>
  </si>
  <si>
    <t>AM J HOSP PALLIAT ME</t>
  </si>
  <si>
    <t>American Journal of Hospice &amp; Palliative Medicine</t>
  </si>
  <si>
    <t>AM J MENS HEALTH</t>
  </si>
  <si>
    <t>American Journal of Mens Health</t>
  </si>
  <si>
    <t>AMERICAN JOURNAL OF PHYSIOLOGY-REGULATORY INTEGRATIVE AND COMPARATIVE PHYSIOLOGY</t>
  </si>
  <si>
    <t>American Journal of Rhinology &amp; Allergy</t>
  </si>
  <si>
    <t>AM J THER</t>
  </si>
  <si>
    <t>AMERICAN JOURNAL OF THERAPEUTICS</t>
  </si>
  <si>
    <t>AM J TRANSL RES</t>
  </si>
  <si>
    <t>American Journal of Translational Research</t>
  </si>
  <si>
    <t>AMYOTROPH LAT SCL FR</t>
  </si>
  <si>
    <t>Amyotrophic Lateral Sclerosis and Frontotemporal Degeneration</t>
  </si>
  <si>
    <t>ANADOLU PSIKIYATR DE</t>
  </si>
  <si>
    <t>Anadolu Psikiyatri Dergisi-Anatolian Journal of Psychiatry</t>
  </si>
  <si>
    <t>ANAESTH CRIT CARE PA</t>
  </si>
  <si>
    <t>Anaesthesia Critical Care &amp; Pain Medicine</t>
  </si>
  <si>
    <t>ANAL CELL PATHOL</t>
  </si>
  <si>
    <t>Analytical Cellular Pathology</t>
  </si>
  <si>
    <t>ANAL METHODS ACCID R</t>
  </si>
  <si>
    <t>Analytic Methods in Accident Research</t>
  </si>
  <si>
    <t>ANAL METHODS-UK</t>
  </si>
  <si>
    <t>Analytical Methods</t>
  </si>
  <si>
    <t>ANAL QUANT CYTOPATHO</t>
  </si>
  <si>
    <t>Analytical and Quantitative Cytopathology and Histopathology</t>
  </si>
  <si>
    <t>ANAL SOC ISS PUB POL</t>
  </si>
  <si>
    <t>Analyses of Social Issues and Public Policy</t>
  </si>
  <si>
    <t>ANATOL J CARDIOL</t>
  </si>
  <si>
    <t>Anatolian Journal of Cardiology</t>
  </si>
  <si>
    <t>ANAT SCI EDUC</t>
  </si>
  <si>
    <t>Anatomical Sciences Education</t>
  </si>
  <si>
    <t>AN BRAS DERMATOL</t>
  </si>
  <si>
    <t>ANAIS BRASILEIROS DE DERMATOLOGIA</t>
  </si>
  <si>
    <t>ANDAMIOS</t>
  </si>
  <si>
    <t>Andamios</t>
  </si>
  <si>
    <t>ANDROLOGY-US</t>
  </si>
  <si>
    <t>Andrology</t>
  </si>
  <si>
    <t>ANGIOGENESIS</t>
  </si>
  <si>
    <t>ANIMALS-BASEL</t>
  </si>
  <si>
    <t>Animals</t>
  </si>
  <si>
    <t>ANIM HEALTH RES REV</t>
  </si>
  <si>
    <t>ANIMAL HEALTH RESEARCH REVIEWS</t>
  </si>
  <si>
    <t>ANIM NUTR</t>
  </si>
  <si>
    <t>Animal Nutrition</t>
  </si>
  <si>
    <t>ANKARA UNIV VET FAK</t>
  </si>
  <si>
    <t>Ankara Universitesi Veteriner Fakultesi Dergisi</t>
  </si>
  <si>
    <t>ANN AM THORAC SOC</t>
  </si>
  <si>
    <t>Annals of the American Thoracic Society</t>
  </si>
  <si>
    <t>ANN CARDIOTHORAC SUR</t>
  </si>
  <si>
    <t>Annals of Cardiothoracic Surgery</t>
  </si>
  <si>
    <t>ANN CLIN MICROB ANTI</t>
  </si>
  <si>
    <t>Annals of Clinical Microbiology and Antimicrobials</t>
  </si>
  <si>
    <t>ANN CLIN PSYCHIATRY</t>
  </si>
  <si>
    <t>Annals of Clinical Psychiatry</t>
  </si>
  <si>
    <t>ANN CLIN TRANSL NEUR</t>
  </si>
  <si>
    <t>Annals of Clinical and Translational Neurology</t>
  </si>
  <si>
    <t>ANN DIAGN PATHOL</t>
  </si>
  <si>
    <t>Annals of Diagnostic Pathology</t>
  </si>
  <si>
    <t>ANN GASTROENT SURG</t>
  </si>
  <si>
    <t>Annals of Gastroenterological Surgery</t>
  </si>
  <si>
    <t>ANN GEN PSYCHIATR</t>
  </si>
  <si>
    <t>Annals of General Psychiatry</t>
  </si>
  <si>
    <t>ANN GLOB HEALTH</t>
  </si>
  <si>
    <t>Annals of Global Health</t>
  </si>
  <si>
    <t>ANN INDIAN ACAD NEUR</t>
  </si>
  <si>
    <t>Annals of Indian Academy of Neurology</t>
  </si>
  <si>
    <t>ANN INTENSIVE CARE</t>
  </si>
  <si>
    <t>Annals of Intensive Care</t>
  </si>
  <si>
    <t>ANN I SUPER SANITA</t>
  </si>
  <si>
    <t>ANNALI DELL ISTITUTO SUPERIORE DI SANITA</t>
  </si>
  <si>
    <t>ANN LAB MED</t>
  </si>
  <si>
    <t>Annals of Laboratory Medicine</t>
  </si>
  <si>
    <t>ANN PALLIAT MED</t>
  </si>
  <si>
    <t>Annals of Palliative Medicine</t>
  </si>
  <si>
    <t>ANN PHYS REHABIL MED</t>
  </si>
  <si>
    <t>Annals of Physical and Rehabilitation Medicine</t>
  </si>
  <si>
    <t>ANN SURG TREAT RES</t>
  </si>
  <si>
    <t>Annals of Surgical Treatment and Research</t>
  </si>
  <si>
    <t>ANN THORAC CARDIOVAS</t>
  </si>
  <si>
    <t>Annals of Thoracic and Cardiovascular Surgery</t>
  </si>
  <si>
    <t>ANN THORAC MED</t>
  </si>
  <si>
    <t>Annals of Thoracic Medicine</t>
  </si>
  <si>
    <t>ANN TRANSL MED</t>
  </si>
  <si>
    <t>Annals of Translational Medicine</t>
  </si>
  <si>
    <t>Annual Reports in Medicinal Chemistry</t>
  </si>
  <si>
    <t>ANNU REV ANAL CHEM</t>
  </si>
  <si>
    <t>Annual Review of Analytical Chemistry</t>
  </si>
  <si>
    <t>ANNU REV ANIM BIOSCI</t>
  </si>
  <si>
    <t>Annual Review of Animal Biosciences</t>
  </si>
  <si>
    <t>Annual Review of Biochemistry</t>
  </si>
  <si>
    <t>Annual Review of Biomedical Engineering</t>
  </si>
  <si>
    <t>ANNU REV CANCER BIOL</t>
  </si>
  <si>
    <t>Annual Review of Cancer Biology-Series</t>
  </si>
  <si>
    <t>Annual Review of Cell and Developmental Biology</t>
  </si>
  <si>
    <t>Annual Review of Clinical Psychology</t>
  </si>
  <si>
    <t>Annual Review of Genetics</t>
  </si>
  <si>
    <t>Annual Review of Genomics and Human Genetics</t>
  </si>
  <si>
    <t>Annual Review of Immunology</t>
  </si>
  <si>
    <t>Annual Review of Medicine</t>
  </si>
  <si>
    <t>Annual Review of Microbiology</t>
  </si>
  <si>
    <t>Annual Review of Neuroscience</t>
  </si>
  <si>
    <t>Annual Review of Nutrition</t>
  </si>
  <si>
    <t>ANNU REV ORGAN PSYCH</t>
  </si>
  <si>
    <t>Annual Review of Organizational Psychology and Organizational Behavior</t>
  </si>
  <si>
    <t>Annual Review of Pharmacology and Toxicology</t>
  </si>
  <si>
    <t>Annual Review of Physiology</t>
  </si>
  <si>
    <t>Annual Review of Psychology</t>
  </si>
  <si>
    <t>Annual Review of Public Health</t>
  </si>
  <si>
    <t>ANNU REV STAT APPL</t>
  </si>
  <si>
    <t>Annual Review of Statistics and Its Application</t>
  </si>
  <si>
    <t>ANNU REV VIROL</t>
  </si>
  <si>
    <t>Annual Review of Virology</t>
  </si>
  <si>
    <t>ANNU REV VIS SCI</t>
  </si>
  <si>
    <t>Annual Review of Vision Science</t>
  </si>
  <si>
    <t>ANN WORK EXPOS HEAL</t>
  </si>
  <si>
    <t>Annals of Work Exposures and Health</t>
  </si>
  <si>
    <t>ANTHROPOL MED</t>
  </si>
  <si>
    <t>Anthropology &amp; Medicine</t>
  </si>
  <si>
    <t>Antibiotics</t>
  </si>
  <si>
    <t>ANTI-CANCER AGENT ME</t>
  </si>
  <si>
    <t>Anti-Cancer Agents in Medicinal Chemistry</t>
  </si>
  <si>
    <t>ANTIMICROB RESIST IN</t>
  </si>
  <si>
    <t>Antimicrobial Resistance and Infection Control</t>
  </si>
  <si>
    <t>ANTIOXIDANTS-BASEL</t>
  </si>
  <si>
    <t>Antioxidants</t>
  </si>
  <si>
    <t>ANTONIE VAN LEEUWENHOEK INTERNATIONAL JOURNAL OF GENERAL AND MOLECULAR MICROBIOLOGY</t>
  </si>
  <si>
    <t>ANU PSICOL JURID</t>
  </si>
  <si>
    <t>Anuario De Psicologia Juridica</t>
  </si>
  <si>
    <t>AORN J</t>
  </si>
  <si>
    <t>AORN JOURNAL</t>
  </si>
  <si>
    <t>APL PHOTONICS</t>
  </si>
  <si>
    <t>APL Photonics</t>
  </si>
  <si>
    <t>APPL BIONICS BIOMECH</t>
  </si>
  <si>
    <t>Applied Bionics and Biomechanics</t>
  </si>
  <si>
    <t>APPL CLIN INFORM</t>
  </si>
  <si>
    <t>Applied Clinical Informatics</t>
  </si>
  <si>
    <t>APPL DEV SCI</t>
  </si>
  <si>
    <t>Applied Developmental Science</t>
  </si>
  <si>
    <t>APPL ERGON</t>
  </si>
  <si>
    <t>APPLIED ERGONOMICS</t>
  </si>
  <si>
    <t>APPL HEALTH ECON HEA</t>
  </si>
  <si>
    <t>Applied Health Economics and Health Policy</t>
  </si>
  <si>
    <t>APPL NEUROPSYCH-ADUL</t>
  </si>
  <si>
    <t>Applied Neuropsychology-Adult</t>
  </si>
  <si>
    <t>APPL NEUROPSYCH-CHIL</t>
  </si>
  <si>
    <t>Applied Neuropsychology-Child</t>
  </si>
  <si>
    <t>Applied Physiology Nutrition and Metabolism</t>
  </si>
  <si>
    <t>APPL PSYCHOL-HLTH WE</t>
  </si>
  <si>
    <t>Applied Psychology-Health and Well Being</t>
  </si>
  <si>
    <t>APPLIED PSYCHOLOGY-AN INTERNATIONAL REVIEW-PSYCHOLOGIE APPLIQUEE-REVUE INTERNATIONALE</t>
  </si>
  <si>
    <t>APPL RES QUAL LIFE</t>
  </si>
  <si>
    <t>Applied Research in Quality of Life</t>
  </si>
  <si>
    <t>APPL SCI-BASEL</t>
  </si>
  <si>
    <t>Applied Sciences-Basel</t>
  </si>
  <si>
    <t>ARAB J CHEM</t>
  </si>
  <si>
    <t>Arabian Journal of Chemistry</t>
  </si>
  <si>
    <t>ARAB J GASTROENTEROL</t>
  </si>
  <si>
    <t>Arab Journal of Gastroenterology</t>
  </si>
  <si>
    <t>ARCHAEA</t>
  </si>
  <si>
    <t>ARCHAEA-AN INTERNATIONAL MICROBIOLOGICAL JOURNAL</t>
  </si>
  <si>
    <t>ARCH ARGENT PEDIATR</t>
  </si>
  <si>
    <t>Archivos Argentinos de Pediatria</t>
  </si>
  <si>
    <t>ARCH BUDO</t>
  </si>
  <si>
    <t>Archives of Budo</t>
  </si>
  <si>
    <t>ARCH CIV MECH ENG</t>
  </si>
  <si>
    <t>Archives of Civil and Mechanical Engineering</t>
  </si>
  <si>
    <t>ARCH CLIN PSYCHIAT</t>
  </si>
  <si>
    <t>Archives of Clinical Psychiatry</t>
  </si>
  <si>
    <t>ARCH ENDOCRIN METAB</t>
  </si>
  <si>
    <t>Archives of Endocrinology Metabolism</t>
  </si>
  <si>
    <t>ARCH ESP UROL</t>
  </si>
  <si>
    <t>ARCHIVOS ESPANOLES DE UROLOGIA</t>
  </si>
  <si>
    <t>ARCH NAT HIST</t>
  </si>
  <si>
    <t>ARCHIVES OF NATURAL HISTORY</t>
  </si>
  <si>
    <t>ARCH OSTEOPOROS</t>
  </si>
  <si>
    <t>Archives of Osteoporosis</t>
  </si>
  <si>
    <t>ARCH PHYSIOL BIOCHEM</t>
  </si>
  <si>
    <t>ARCHIVES OF PHYSIOLOGY AND BIOCHEMISTRY</t>
  </si>
  <si>
    <t>ARCH PSYCHOL RELIG</t>
  </si>
  <si>
    <t>Archive for the Psychology of Religion-Archiv fur Religionspsychologie</t>
  </si>
  <si>
    <t>ARCH PUBLIC HEALTH</t>
  </si>
  <si>
    <t>Archives of Public Health</t>
  </si>
  <si>
    <t>ARCH RHEUMATOL</t>
  </si>
  <si>
    <t>Archives of Rheumatology</t>
  </si>
  <si>
    <t>ARCH SUICIDE RES</t>
  </si>
  <si>
    <t>ARCHIVES OF SUICIDE RESEARCH</t>
  </si>
  <si>
    <t>ARH HIG RADA TOKSIKO</t>
  </si>
  <si>
    <t>Arhiv za Higijenu Rada i Toksikologiju-Archives of Industrial Hygiene and Toxicology</t>
  </si>
  <si>
    <t>ARQ BRAS OFTALMOL</t>
  </si>
  <si>
    <t>ARQUIVOS BRASILEIROS DE OFTALMOLOGIA</t>
  </si>
  <si>
    <t>ARTERY RES</t>
  </si>
  <si>
    <t>Artery Research</t>
  </si>
  <si>
    <t>ARTHRIT CARE RES</t>
  </si>
  <si>
    <t>ARTHRITIS CARE &amp; RESEARCH</t>
  </si>
  <si>
    <t>ARTHRITIS RHEUMATOL</t>
  </si>
  <si>
    <t>Arthritis &amp; Rheumatology</t>
  </si>
  <si>
    <t>ARTIF CELL NANOMED B</t>
  </si>
  <si>
    <t>Artificial Cells Nanomedicine and Biotechnology</t>
  </si>
  <si>
    <t>ARTIF INTELL LAW</t>
  </si>
  <si>
    <t>Artificial Intelligence and Law</t>
  </si>
  <si>
    <t>ARTS HEALTH</t>
  </si>
  <si>
    <t>Arts &amp; Health</t>
  </si>
  <si>
    <t>ASIAN AM J PSYCHOL</t>
  </si>
  <si>
    <t>Asian American Journal of Psychology</t>
  </si>
  <si>
    <t>ASIAN J ORG CHEM</t>
  </si>
  <si>
    <t>Asian Journal of Organic Chemistry</t>
  </si>
  <si>
    <t>ASIAN J PHARM SCI</t>
  </si>
  <si>
    <t>Asian Journal of Pharmaceutical Sciences</t>
  </si>
  <si>
    <t>ASIAN J PSYCHIATR</t>
  </si>
  <si>
    <t>Asian Journal of Psychiatry</t>
  </si>
  <si>
    <t>ASIAN J SOC SCI</t>
  </si>
  <si>
    <t>Asian Journal of Social Science</t>
  </si>
  <si>
    <t>ASIAN J WTO INT HEAL</t>
  </si>
  <si>
    <t>Asian Journal of WTO &amp; International Health Law and Policy</t>
  </si>
  <si>
    <t>ASIAN NURS RES</t>
  </si>
  <si>
    <t>Asian Nursing Research</t>
  </si>
  <si>
    <t>ASIAN PAC J TROP BIO</t>
  </si>
  <si>
    <t>Asian Pacific Journal of Tropical Biomedicine</t>
  </si>
  <si>
    <t>ASIAN PAC J TROP MED</t>
  </si>
  <si>
    <t>Asian Pacific Journal of Tropical Medicine</t>
  </si>
  <si>
    <t>ASIAN PAC MIGR J</t>
  </si>
  <si>
    <t>Asian and Pacific Migration Journal</t>
  </si>
  <si>
    <t>ASIAN POPUL STUD</t>
  </si>
  <si>
    <t>Asian Population Studies</t>
  </si>
  <si>
    <t>ASIAN WOMEN</t>
  </si>
  <si>
    <t>Asian Women</t>
  </si>
  <si>
    <t>ASIA-PAC J ONCOL NUR</t>
  </si>
  <si>
    <t>Asia-Pacific Journal of Oncology Nursing</t>
  </si>
  <si>
    <t>ASIA-PAC J OPHTHALMO</t>
  </si>
  <si>
    <t>Asia-Pacific Journal of Ophthalmology</t>
  </si>
  <si>
    <t>ASIA-PAC PSYCHIAT</t>
  </si>
  <si>
    <t>Asia-Pacific Psychiatry</t>
  </si>
  <si>
    <t>ASLIB J INFORM MANAG</t>
  </si>
  <si>
    <t>Aslib Journal of Information Management</t>
  </si>
  <si>
    <t>ASN NEURO</t>
  </si>
  <si>
    <t>ASN Neuro</t>
  </si>
  <si>
    <t>ASTRON COMPUT</t>
  </si>
  <si>
    <t>Astronomy and Computing</t>
  </si>
  <si>
    <t>ATHEROSCLEROSIS SUPP</t>
  </si>
  <si>
    <t>ATHEROSCLEROSIS SUPPLEMENTS</t>
  </si>
  <si>
    <t>ATTEN PERCEPT PSYCHO</t>
  </si>
  <si>
    <t>Attention Perception &amp; Psychophysics</t>
  </si>
  <si>
    <t>AUGMENT ALTERN COMM</t>
  </si>
  <si>
    <t>Augmentative and Alternative Communication</t>
  </si>
  <si>
    <t>AUST CRIT CARE</t>
  </si>
  <si>
    <t>Australian Critical Care</t>
  </si>
  <si>
    <t>AUST ENDOD J</t>
  </si>
  <si>
    <t>Australian Endodontic Journal</t>
  </si>
  <si>
    <t>AUST J FORENSIC SCI</t>
  </si>
  <si>
    <t>Australian Journal of Forensic Sciences</t>
  </si>
  <si>
    <t>AUST J GEN PRACT</t>
  </si>
  <si>
    <t>Australian Journal of General Practice</t>
  </si>
  <si>
    <t>AUSTRALAS EMERG CARE</t>
  </si>
  <si>
    <t>Australasian Emergency Care</t>
  </si>
  <si>
    <t>AUSTRALAS ORTHOD J</t>
  </si>
  <si>
    <t>Australasian Orthodontic Journal</t>
  </si>
  <si>
    <t>AUSTRAL J VET SCI</t>
  </si>
  <si>
    <t>AUSTRAL JOURNAL OF VETERINARY SCIENCES</t>
  </si>
  <si>
    <t>AUTISM RES</t>
  </si>
  <si>
    <t>Autism Research</t>
  </si>
  <si>
    <t>BALK MED J</t>
  </si>
  <si>
    <t>Balkan Medical Journal</t>
  </si>
  <si>
    <t>BANGL J PHARMACOL</t>
  </si>
  <si>
    <t>Bangladesh Journal of Pharmacology</t>
  </si>
  <si>
    <t>BARIATR SURG PRACT P</t>
  </si>
  <si>
    <t>Bariatric Surgical Practice and Patient Care</t>
  </si>
  <si>
    <t>BASIC CLIN ANDROL</t>
  </si>
  <si>
    <t>Basic and Clinical Andrology</t>
  </si>
  <si>
    <t>BEHAV BRAIN FUNCT</t>
  </si>
  <si>
    <t>Behavioral and Brain Functions</t>
  </si>
  <si>
    <t>BEHAV DISORDERS</t>
  </si>
  <si>
    <t>BEHAVIORAL DISORDERS</t>
  </si>
  <si>
    <t>BEHAV PSYCHOL</t>
  </si>
  <si>
    <t>Behavioral Psychology-Psicologia Conductual</t>
  </si>
  <si>
    <t>BEHAV SLEEP MED</t>
  </si>
  <si>
    <t>Behavioral Sleep Medicine</t>
  </si>
  <si>
    <t>BENEF MICROBES</t>
  </si>
  <si>
    <t>Beneficial Microbes</t>
  </si>
  <si>
    <t>BER WISSGESCH</t>
  </si>
  <si>
    <t>Berichte zur Wissenschaftsgeschichte</t>
  </si>
  <si>
    <t>Best Practice &amp; Research Clinical Anaesthesiology</t>
  </si>
  <si>
    <t>Best Practice &amp; Research Clinical Gastroenterology</t>
  </si>
  <si>
    <t>BEST PRACTICE &amp; RESEARCH CLINICAL OBSTETRICS &amp; GYNAECOLOGY</t>
  </si>
  <si>
    <t>BIG DATA SOC</t>
  </si>
  <si>
    <t>Big Data &amp; Society</t>
  </si>
  <si>
    <t>BIG DATA-US</t>
  </si>
  <si>
    <t>Big Data</t>
  </si>
  <si>
    <t>BIOACT MATER</t>
  </si>
  <si>
    <t>Bioactive Materials</t>
  </si>
  <si>
    <t>BIOANALYSIS</t>
  </si>
  <si>
    <t>Bioanalysis</t>
  </si>
  <si>
    <t>Biochemistry and Cell Biology</t>
  </si>
  <si>
    <t>BIOCONTROL SCI</t>
  </si>
  <si>
    <t>BIOCONTROL SCIENCE</t>
  </si>
  <si>
    <t>BIOCYBERN BIOMED ENG</t>
  </si>
  <si>
    <t>Biocybernetics and Biomedical Engineering</t>
  </si>
  <si>
    <t>BIODEMOGR SOC BIOL</t>
  </si>
  <si>
    <t>Biodemography and Social Biology</t>
  </si>
  <si>
    <t>BIO-DES MANUF</t>
  </si>
  <si>
    <t>Bio-Design and Manufacturing</t>
  </si>
  <si>
    <t>BIOENGINEERED</t>
  </si>
  <si>
    <t>Bioengineered</t>
  </si>
  <si>
    <t>BIOENG TRANSL MED</t>
  </si>
  <si>
    <t>Bioengineering &amp; Translational Medicine</t>
  </si>
  <si>
    <t>BIOFABRICATION</t>
  </si>
  <si>
    <t>Biofabrication</t>
  </si>
  <si>
    <t>BIOIMPACTS</t>
  </si>
  <si>
    <t>BioImpacts</t>
  </si>
  <si>
    <t>BIOINSPIR BIOMIM NAN</t>
  </si>
  <si>
    <t>Bioinspired Biomimetic and Nanobiomaterials</t>
  </si>
  <si>
    <t>Biointerphases</t>
  </si>
  <si>
    <t>BIOL FUTURA</t>
  </si>
  <si>
    <t>Biologia Futura</t>
  </si>
  <si>
    <t>Biology</t>
  </si>
  <si>
    <t>BIOL OPEN</t>
  </si>
  <si>
    <t>Biology Open</t>
  </si>
  <si>
    <t>BIOL PSYCHIAT-COGN N</t>
  </si>
  <si>
    <t>Biological Psychiatry-Cognitive Neuroscience and Neuroimaging</t>
  </si>
  <si>
    <t>BIOL SEX DIFFER</t>
  </si>
  <si>
    <t>Biology of Sex Differences</t>
  </si>
  <si>
    <t>BIOMARK RES</t>
  </si>
  <si>
    <t>Biomarker Research</t>
  </si>
  <si>
    <t>BIOMED ENG-BIOMED TE</t>
  </si>
  <si>
    <t>Biomedical Engineering-Biomedizinische Technik</t>
  </si>
  <si>
    <t>Biomedica</t>
  </si>
  <si>
    <t>BIOMEDICINES</t>
  </si>
  <si>
    <t>Biomedicines</t>
  </si>
  <si>
    <t>BIOMED J</t>
  </si>
  <si>
    <t>Biomedical Journal</t>
  </si>
  <si>
    <t>BIOMED OPT EXPRESS</t>
  </si>
  <si>
    <t>Biomedical Optics Express</t>
  </si>
  <si>
    <t>BIOMED PAP</t>
  </si>
  <si>
    <t>BIOMEDICAL PAPERS-OLOMOUC</t>
  </si>
  <si>
    <t>BIOMED RES INT</t>
  </si>
  <si>
    <t>Biomed Research International</t>
  </si>
  <si>
    <t>BIOMOLECULES</t>
  </si>
  <si>
    <t>Biomolecules</t>
  </si>
  <si>
    <t>BIOPRESERV BIOBANK</t>
  </si>
  <si>
    <t>Biopreservation and Biobanking</t>
  </si>
  <si>
    <t>BIOPSYCHOSOC MED</t>
  </si>
  <si>
    <t>BioPsychoSocial Medicine</t>
  </si>
  <si>
    <t>BIORESOUR BIOPROCESS</t>
  </si>
  <si>
    <t>Bioresources and Bioprocessing</t>
  </si>
  <si>
    <t>BIOSCI J</t>
  </si>
  <si>
    <t>Bioscience Journal</t>
  </si>
  <si>
    <t>BIOSCI MICROB FOOD H</t>
  </si>
  <si>
    <t>Bioscience of Microbiota Food and Health</t>
  </si>
  <si>
    <t>BIOSCI TRENDS</t>
  </si>
  <si>
    <t>BioScience Trends</t>
  </si>
  <si>
    <t>BIOSEMIOTICS-NETH</t>
  </si>
  <si>
    <t>Biosemiotics</t>
  </si>
  <si>
    <t>Biosensors</t>
  </si>
  <si>
    <t>BIOSOCIETIES</t>
  </si>
  <si>
    <t>BioSocieties</t>
  </si>
  <si>
    <t>BIOTECHNOL J</t>
  </si>
  <si>
    <t>Biotechnology Journal</t>
  </si>
  <si>
    <t>BIRTH DEFECTS RES</t>
  </si>
  <si>
    <t>Birth Defects Research</t>
  </si>
  <si>
    <t>BJPSYCH OPEN</t>
  </si>
  <si>
    <t>BJPsych Open</t>
  </si>
  <si>
    <t>BJS open</t>
  </si>
  <si>
    <t>BLADDER CANCER</t>
  </si>
  <si>
    <t>Bladder Cancer</t>
  </si>
  <si>
    <t>B LATINOAM CARIBE PL</t>
  </si>
  <si>
    <t>Boletin Latinoamericano y del Caribe de Plantas Medicinales y Aromaticas</t>
  </si>
  <si>
    <t>BLOOD ADV</t>
  </si>
  <si>
    <t>Blood Advances</t>
  </si>
  <si>
    <t>BLOOD CANCER J</t>
  </si>
  <si>
    <t>Blood Cancer Journal</t>
  </si>
  <si>
    <t>BLOOD TRANSFUS-ITALY</t>
  </si>
  <si>
    <t>Blood Transfusion</t>
  </si>
  <si>
    <t>BMC ANESTHESIOL</t>
  </si>
  <si>
    <t>BMC Anesthesiology</t>
  </si>
  <si>
    <t>BMC BIOCHEM</t>
  </si>
  <si>
    <t>BMC BIOCHEMISTRY</t>
  </si>
  <si>
    <t>BMC BIOPHYS</t>
  </si>
  <si>
    <t>BMC Biophysics</t>
  </si>
  <si>
    <t>BMC CARDIOVASC DISOR</t>
  </si>
  <si>
    <t>BMC Cardiovascular Disorders</t>
  </si>
  <si>
    <t>BMC CHEM</t>
  </si>
  <si>
    <t>BMC Chemistry</t>
  </si>
  <si>
    <t>BMC COMPLEM ALTERN M</t>
  </si>
  <si>
    <t>BMC Complementary and Alternative Medicine</t>
  </si>
  <si>
    <t>BMC EMERG MED</t>
  </si>
  <si>
    <t>BMC EMERGENCY MEDICINE</t>
  </si>
  <si>
    <t>BMC ENDOCR DISORD</t>
  </si>
  <si>
    <t>BMC Endocrine Disorders</t>
  </si>
  <si>
    <t>BMC FAM PRACT</t>
  </si>
  <si>
    <t>BMC GERIATR</t>
  </si>
  <si>
    <t>BMC Geriatrics</t>
  </si>
  <si>
    <t>BMC INT HEALTH HUM R</t>
  </si>
  <si>
    <t>BMC International Health and Human Rights</t>
  </si>
  <si>
    <t>BMC MED EDUC</t>
  </si>
  <si>
    <t>BMC Medical Education</t>
  </si>
  <si>
    <t>BMC MED ETHICS</t>
  </si>
  <si>
    <t>BMC Medical Ethics</t>
  </si>
  <si>
    <t>BMC MED GENOMICS</t>
  </si>
  <si>
    <t>BMC Medical Genomics</t>
  </si>
  <si>
    <t>BMC MED IMAGING</t>
  </si>
  <si>
    <t>BMC MEDICAL IMAGING</t>
  </si>
  <si>
    <t>BMC MED RES METHODOL</t>
  </si>
  <si>
    <t>BMC Medical Research Methodology</t>
  </si>
  <si>
    <t>BMC MOL CELL BIOL</t>
  </si>
  <si>
    <t>BMC Molecular and Cell Biology</t>
  </si>
  <si>
    <t>BMC NEPHROL</t>
  </si>
  <si>
    <t>BMC Nephrology</t>
  </si>
  <si>
    <t>BMC NURS</t>
  </si>
  <si>
    <t>BMC NURSING</t>
  </si>
  <si>
    <t>BMC OPHTHALMOL</t>
  </si>
  <si>
    <t>BMC Ophthalmology</t>
  </si>
  <si>
    <t>BMC ORAL HEALTH</t>
  </si>
  <si>
    <t>BMC Oral Health</t>
  </si>
  <si>
    <t>BMC PALLIAT CARE</t>
  </si>
  <si>
    <t>BMC Palliative Care</t>
  </si>
  <si>
    <t>BMC PEDIATR</t>
  </si>
  <si>
    <t>BMC Pediatrics</t>
  </si>
  <si>
    <t>BMC PHARMACOL TOXICO</t>
  </si>
  <si>
    <t>BMC Pharmacology &amp; Toxicology</t>
  </si>
  <si>
    <t>BMC PREGNANCY CHILDB</t>
  </si>
  <si>
    <t>BMC Pregnancy and Childbirth</t>
  </si>
  <si>
    <t>BMC Psychiatry</t>
  </si>
  <si>
    <t>BMC PULM MED</t>
  </si>
  <si>
    <t>BMC Pulmonary Medicine</t>
  </si>
  <si>
    <t>BMC SPORTS SCI MED R</t>
  </si>
  <si>
    <t>BMC Sports Science Medicine and Rehabilitation</t>
  </si>
  <si>
    <t>BMC SURG</t>
  </si>
  <si>
    <t>BMC Surgery</t>
  </si>
  <si>
    <t>BMC UROL</t>
  </si>
  <si>
    <t>BMC Urology</t>
  </si>
  <si>
    <t>BMC VET RES</t>
  </si>
  <si>
    <t>BMC Veterinary Research</t>
  </si>
  <si>
    <t>BMC WOMENS HEALTH</t>
  </si>
  <si>
    <t>BMC Womens Health</t>
  </si>
  <si>
    <t>BMJ-BRIT MED J</t>
  </si>
  <si>
    <t>BMJ-British Medical Journal</t>
  </si>
  <si>
    <t>BMJ GLOB HEALTH</t>
  </si>
  <si>
    <t>BMJ Global Health</t>
  </si>
  <si>
    <t>BMJ OPEN</t>
  </si>
  <si>
    <t>BMJ Open</t>
  </si>
  <si>
    <t>BMJ OPEN DIAB RES CA</t>
  </si>
  <si>
    <t>BMJ Open Diabetes Research &amp; Care</t>
  </si>
  <si>
    <t>BMJ QUAL SAF</t>
  </si>
  <si>
    <t>BMJ Quality &amp; Safety</t>
  </si>
  <si>
    <t>BMJ SEX REPROD HEAL</t>
  </si>
  <si>
    <t>BMJ Sexual &amp; Reproductive Health</t>
  </si>
  <si>
    <t>BMJ SUPPORT PALLIAT</t>
  </si>
  <si>
    <t>BMJ Supportive &amp; Palliative Care</t>
  </si>
  <si>
    <t>BODY IMAGE</t>
  </si>
  <si>
    <t>Body Image</t>
  </si>
  <si>
    <t>BONE JOINT J</t>
  </si>
  <si>
    <t>Bone &amp; Joint Journal</t>
  </si>
  <si>
    <t>BONE JOINT RES</t>
  </si>
  <si>
    <t>Bone &amp; Joint Research</t>
  </si>
  <si>
    <t>BORDER PERS DIS EMOT</t>
  </si>
  <si>
    <t>Borderline Personality Disorder and Emotion Dysregulation</t>
  </si>
  <si>
    <t>BRACHYTHERAPY</t>
  </si>
  <si>
    <t>BRAIN BEHAV</t>
  </si>
  <si>
    <t>Brain and Behavior</t>
  </si>
  <si>
    <t>BRAIN CONNECT</t>
  </si>
  <si>
    <t>Brain Connectivity</t>
  </si>
  <si>
    <t>BRAIN IMPAIR</t>
  </si>
  <si>
    <t>Brain Impairment</t>
  </si>
  <si>
    <t>BRAIN SCI</t>
  </si>
  <si>
    <t>Brain Sciences</t>
  </si>
  <si>
    <t>BRAZ J BIOL</t>
  </si>
  <si>
    <t>BRAZILIAN JOURNAL OF BIOLOGY</t>
  </si>
  <si>
    <t>BRAZ J CARDIOV SURG</t>
  </si>
  <si>
    <t>Brazilian Journal of Cardiovascular Surgery</t>
  </si>
  <si>
    <t>BRAZ J OTORHINOLAR</t>
  </si>
  <si>
    <t>Brazilian Journal of Otorhinolaryngology</t>
  </si>
  <si>
    <t>BRAZ J PHARM SCI</t>
  </si>
  <si>
    <t>Brazilian Journal of Pharmaceutical Sciences</t>
  </si>
  <si>
    <t>BRAZ J PHYS THER</t>
  </si>
  <si>
    <t>Brazilian Journal of Physical Therapy</t>
  </si>
  <si>
    <t>BRAZ J PROBAB STAT</t>
  </si>
  <si>
    <t>Brazilian Journal of Probability and Statistics</t>
  </si>
  <si>
    <t>BRAZ J PSYCHIAT</t>
  </si>
  <si>
    <t>Brazilian Journal of Psychiatry</t>
  </si>
  <si>
    <t>BREAST CANCER-TOKYO</t>
  </si>
  <si>
    <t>Breast Cancer</t>
  </si>
  <si>
    <t>BREASTFEED MED</t>
  </si>
  <si>
    <t>Breastfeeding Medicine</t>
  </si>
  <si>
    <t>BRIEF FUNCT GENOMICS</t>
  </si>
  <si>
    <t>Briefings in Functional Genomics</t>
  </si>
  <si>
    <t>BRIT J OCCUP THER</t>
  </si>
  <si>
    <t>British Journal of Occupational Therapy</t>
  </si>
  <si>
    <t>B SOC LINN LYON</t>
  </si>
  <si>
    <t>Bulletin de la Societe Linneenne de Lyon</t>
  </si>
  <si>
    <t>B STOR SCI MAT</t>
  </si>
  <si>
    <t>Bollettino di Storia delle Scienze Matematiche</t>
  </si>
  <si>
    <t>BURNS TRAUMA</t>
  </si>
  <si>
    <t>Burns &amp; Trauma</t>
  </si>
  <si>
    <t>CANADIAN ASSOCIATION OF RADIOLOGISTS JOURNAL-JOURNAL DE L ASSOCIATION CANADIENNE DES RADIOLOGISTES</t>
  </si>
  <si>
    <t>CANCER BIOL MED</t>
  </si>
  <si>
    <t>Cancer Biology &amp; Medicine</t>
  </si>
  <si>
    <t>CANCER BIOMARK</t>
  </si>
  <si>
    <t>Cancer Biomarkers</t>
  </si>
  <si>
    <t>CANCER CELL INT</t>
  </si>
  <si>
    <t>Cancer Cell International</t>
  </si>
  <si>
    <t>CANCER COMMUN</t>
  </si>
  <si>
    <t>Cancer Communications</t>
  </si>
  <si>
    <t>CANCER CONTROL</t>
  </si>
  <si>
    <t>Cancer Control</t>
  </si>
  <si>
    <t>CANCER CYTOPATHOL</t>
  </si>
  <si>
    <t>CANCER CYTOPATHOLOGY</t>
  </si>
  <si>
    <t>CANCER DISCOV</t>
  </si>
  <si>
    <t>Cancer Discovery</t>
  </si>
  <si>
    <t>CANCER EPIDEMIOL</t>
  </si>
  <si>
    <t>Cancer Epidemiology</t>
  </si>
  <si>
    <t>CANCER GENET-NY</t>
  </si>
  <si>
    <t>Cancer Genetics</t>
  </si>
  <si>
    <t>CANCER GENOM PROTEOM</t>
  </si>
  <si>
    <t>Cancer Genomics &amp; Proteomics</t>
  </si>
  <si>
    <t>CANCER IMAGING</t>
  </si>
  <si>
    <t>CANCER IMMUNOL RES</t>
  </si>
  <si>
    <t>Cancer Immunology Research</t>
  </si>
  <si>
    <t>CANCER MANAG RES</t>
  </si>
  <si>
    <t>Cancer Management and Research</t>
  </si>
  <si>
    <t>CANCER MED-US</t>
  </si>
  <si>
    <t>Cancer Medicine</t>
  </si>
  <si>
    <t>CANCER METAB</t>
  </si>
  <si>
    <t>Cancer &amp; Metabolism</t>
  </si>
  <si>
    <t>CANCER NANOTECHNOL</t>
  </si>
  <si>
    <t>Cancer Nanotechnology</t>
  </si>
  <si>
    <t>CANCER RES TREAT</t>
  </si>
  <si>
    <t>Cancer Research and Treatment</t>
  </si>
  <si>
    <t>CANCERS</t>
  </si>
  <si>
    <t>Cancers</t>
  </si>
  <si>
    <t>CAN J ANESTH</t>
  </si>
  <si>
    <t>Canadian Journal of Anesthesia-Journal canadien d anesthesie</t>
  </si>
  <si>
    <t>CANADIAN JOURNAL OF BEHAVIOURAL SCIENCE-REVUE CANADIENNE DES SCIENCES DU COMPORTEMENT</t>
  </si>
  <si>
    <t>Canadian Journal of Chemistry</t>
  </si>
  <si>
    <t>CAN J DIABETES</t>
  </si>
  <si>
    <t>Canadian Journal of Diabetes</t>
  </si>
  <si>
    <t>CAN J EMERG MED</t>
  </si>
  <si>
    <t>Canadian Journal of Emergency Medicine</t>
  </si>
  <si>
    <t>CANADIAN JOURNAL OF EXPERIMENTAL PSYCHOLOGY-REVUE CANADIENNE DE PSYCHOLOGIE EXPERIMENTALE</t>
  </si>
  <si>
    <t>Canadian Journal of Gastroenterology and Hepatology</t>
  </si>
  <si>
    <t>CANADIAN JOURNAL OF INFORMATION AND LIBRARY SCIENCE-REVUE CANADIENNE DES SCIENCES DE L INFORMATION ET DE BIBLIOTHECONOMIE</t>
  </si>
  <si>
    <t>CAN J OCCUP THER</t>
  </si>
  <si>
    <t>Canadian Journal of Occupational Therapy-Revue Canadienne d Ergotherapie</t>
  </si>
  <si>
    <t>CAN J SCH PSYCHOL</t>
  </si>
  <si>
    <t>Canadian Journal of School Psychology</t>
  </si>
  <si>
    <t>CAN J UROL</t>
  </si>
  <si>
    <t>Canadian Journal of Urology</t>
  </si>
  <si>
    <t>CANADIAN JOURNAL OF VETERINARY RESEARCH-REVUE CANADIENNE DE RECHERCHE VETERINAIRE</t>
  </si>
  <si>
    <t>CANNABIS CANNABINOID</t>
  </si>
  <si>
    <t>Cannabis and Cannabinoid Research</t>
  </si>
  <si>
    <t>CAN STUD POPUL</t>
  </si>
  <si>
    <t>Canadian Studies in Population</t>
  </si>
  <si>
    <t>CARBON LETT</t>
  </si>
  <si>
    <t>Carbon Letters</t>
  </si>
  <si>
    <t>CARDIOL J</t>
  </si>
  <si>
    <t>Cardiology Journal</t>
  </si>
  <si>
    <t>CARDIOL RES PRACT</t>
  </si>
  <si>
    <t>Cardiology Research and Practice</t>
  </si>
  <si>
    <t>CARDIOL REV</t>
  </si>
  <si>
    <t>Cardiology in Review</t>
  </si>
  <si>
    <t>CARDIORENAL MED</t>
  </si>
  <si>
    <t>CardioRenal Medicine</t>
  </si>
  <si>
    <t>CARDIOVASC DIAGN THE</t>
  </si>
  <si>
    <t>Cardiovascular Diagnosis and Therapy</t>
  </si>
  <si>
    <t>CARDIOVASC ENG TECHN</t>
  </si>
  <si>
    <t>Cardiovascular Engineering and Technology</t>
  </si>
  <si>
    <t>CARDIOVASC J AFR</t>
  </si>
  <si>
    <t>Cardiovascular Journal of Africa</t>
  </si>
  <si>
    <t>CARDIOVASC ULTRASOUN</t>
  </si>
  <si>
    <t>Cardiovascular Ultrasound</t>
  </si>
  <si>
    <t>CAREER DEV INT</t>
  </si>
  <si>
    <t>Career Development International</t>
  </si>
  <si>
    <t>CAREER DEV TRANSIT E</t>
  </si>
  <si>
    <t>Career Development and Transition for Exceptional Individuals</t>
  </si>
  <si>
    <t>CARTILAGE</t>
  </si>
  <si>
    <t>Cartilage</t>
  </si>
  <si>
    <t>CBE-LIFE SCI EDUC</t>
  </si>
  <si>
    <t>CBE-Life Sciences Education</t>
  </si>
  <si>
    <t>CELL ADHES MIGR</t>
  </si>
  <si>
    <t>Cell Adhesion &amp; Migration</t>
  </si>
  <si>
    <t>CELL BIOSCI</t>
  </si>
  <si>
    <t>Cell and Bioscience</t>
  </si>
  <si>
    <t>CELL CHEM BIOL</t>
  </si>
  <si>
    <t>Cell Chemical Biology</t>
  </si>
  <si>
    <t>CELL COMMUN SIGNAL</t>
  </si>
  <si>
    <t>Cell Communication and Signaling</t>
  </si>
  <si>
    <t>CELL DEATH DIS</t>
  </si>
  <si>
    <t>Cell Death &amp; Disease</t>
  </si>
  <si>
    <t>CELL DEATH DISCOV</t>
  </si>
  <si>
    <t>Cell Death Discovery</t>
  </si>
  <si>
    <t>CELL DISCOV</t>
  </si>
  <si>
    <t>Cell Discovery</t>
  </si>
  <si>
    <t>CELL DIV</t>
  </si>
  <si>
    <t>Cell Division</t>
  </si>
  <si>
    <t>CELL J</t>
  </si>
  <si>
    <t>Cell Journal</t>
  </si>
  <si>
    <t>CELL MOL GASTROENTER</t>
  </si>
  <si>
    <t>Cellular and Molecular Gastroenterology and Hepatology</t>
  </si>
  <si>
    <t>CELL REP</t>
  </si>
  <si>
    <t>Cell Reports</t>
  </si>
  <si>
    <t>CELL REPROGRAM</t>
  </si>
  <si>
    <t>Cellular Reprogramming</t>
  </si>
  <si>
    <t>CELLS-BASEL</t>
  </si>
  <si>
    <t>Cells</t>
  </si>
  <si>
    <t>CELL SYST</t>
  </si>
  <si>
    <t>Cell Systems</t>
  </si>
  <si>
    <t>CELL TISSUE BANK</t>
  </si>
  <si>
    <t>CELL AND TISSUE BANKING</t>
  </si>
  <si>
    <t>CENTAURUS</t>
  </si>
  <si>
    <t>CENT EUR J IMMUNOL</t>
  </si>
  <si>
    <t>Central European Journal of Immunology</t>
  </si>
  <si>
    <t>CENT EUR J PUBL HEAL</t>
  </si>
  <si>
    <t>Central European Journal of Public Health</t>
  </si>
  <si>
    <t>CHEM EDUC RES PRACT</t>
  </si>
  <si>
    <t>Chemistry Education Research and Practice</t>
  </si>
  <si>
    <t>Chemija</t>
  </si>
  <si>
    <t>CHEMISTRYOPEN</t>
  </si>
  <si>
    <t>ChemistryOpen</t>
  </si>
  <si>
    <t>CHEMISTRYSELECT</t>
  </si>
  <si>
    <t>ChemistrySelect</t>
  </si>
  <si>
    <t>CHEMNANOMAT</t>
  </si>
  <si>
    <t>ChemNanoMat</t>
  </si>
  <si>
    <t>CHEMOSENSORS</t>
  </si>
  <si>
    <t>Chemosensors</t>
  </si>
  <si>
    <t>CHEMPLUSCHEM</t>
  </si>
  <si>
    <t>ChemPlusChem</t>
  </si>
  <si>
    <t>CHEM SCI</t>
  </si>
  <si>
    <t>Chemical Science</t>
  </si>
  <si>
    <t>ChemSusChem</t>
  </si>
  <si>
    <t>CHEM-US</t>
  </si>
  <si>
    <t>Chem</t>
  </si>
  <si>
    <t>CHIANG MAI J SCI</t>
  </si>
  <si>
    <t>Chiang Mai Journal of Science</t>
  </si>
  <si>
    <t>CHILD ADOL MENT H-UK</t>
  </si>
  <si>
    <t>Child and Adolescent Mental Health</t>
  </si>
  <si>
    <t>CHILD ADOL PSYCH MEN</t>
  </si>
  <si>
    <t>Child and Adolescent Psychiatry and Mental Health</t>
  </si>
  <si>
    <t>CHILD DEV PERSPECT</t>
  </si>
  <si>
    <t>Child Development Perspectives</t>
  </si>
  <si>
    <t>CHILD INDIC RES</t>
  </si>
  <si>
    <t>Child Indicators Research</t>
  </si>
  <si>
    <t>CHILD OBES</t>
  </si>
  <si>
    <t>Childhood Obesity</t>
  </si>
  <si>
    <t>CHILDREN-BASEL</t>
  </si>
  <si>
    <t>Children-Basel</t>
  </si>
  <si>
    <t>CHILD YOUTH CARE FOR</t>
  </si>
  <si>
    <t>CHILD &amp; YOUTH CARE FORUM</t>
  </si>
  <si>
    <t>CHINESE J ORG CHEM</t>
  </si>
  <si>
    <t>CHINESE JOURNAL OF ORGANIC CHEMISTRY</t>
  </si>
  <si>
    <t>CHIN J INTEGR MED</t>
  </si>
  <si>
    <t>Chinese Journal of Integrative Medicine</t>
  </si>
  <si>
    <t>CHIN J MECH ENG-EN</t>
  </si>
  <si>
    <t>Chinese Journal of Mechanical Engineering</t>
  </si>
  <si>
    <t>CHIN J NAT MEDICINES</t>
  </si>
  <si>
    <t>Chinese Journal of Natural Medicines</t>
  </si>
  <si>
    <t>CHIN MED-UK</t>
  </si>
  <si>
    <t>Chinese Medicine</t>
  </si>
  <si>
    <t>CHIN OPT LETT</t>
  </si>
  <si>
    <t>Chinese Optics Letters</t>
  </si>
  <si>
    <t>CHIROPR MAN THER</t>
  </si>
  <si>
    <t>Chiropractic &amp; Manual Therapies</t>
  </si>
  <si>
    <t>CHRONIC ILLN</t>
  </si>
  <si>
    <t>Chronic Illness</t>
  </si>
  <si>
    <t>CHRON RESP DIS</t>
  </si>
  <si>
    <t>Chronic Respiratory Disease</t>
  </si>
  <si>
    <t>CIENC RURAL</t>
  </si>
  <si>
    <t>CIENCIA RURAL</t>
  </si>
  <si>
    <t>CIENC SAUDE COLETIVA</t>
  </si>
  <si>
    <t>Ciencia &amp; Saude Coletiva</t>
  </si>
  <si>
    <t>CIRC-CARDIOVASC INTE</t>
  </si>
  <si>
    <t>Circulation-Cardiovascular Interventions</t>
  </si>
  <si>
    <t>CIRC-CARDIOVASC QUAL</t>
  </si>
  <si>
    <t>Circulation-Cardiovascular Quality and Outcomes</t>
  </si>
  <si>
    <t>CIRC-GENOM PRECIS ME</t>
  </si>
  <si>
    <t>Circulation-Genomic and Precision Medicine</t>
  </si>
  <si>
    <t>CIR ESPAN</t>
  </si>
  <si>
    <t>CIRUGIA ESPANOLA</t>
  </si>
  <si>
    <t>CLIN CASE STUD</t>
  </si>
  <si>
    <t>Clinical Case Studies</t>
  </si>
  <si>
    <t>CLIN CHILD PSYCHOL P</t>
  </si>
  <si>
    <t>Clinical Child Psychology and Psychiatry</t>
  </si>
  <si>
    <t>CLIN COLON RECT SURG</t>
  </si>
  <si>
    <t>Clinics in Colon and Rectal Surgery</t>
  </si>
  <si>
    <t>CLIN COSMET INV DERM</t>
  </si>
  <si>
    <t>Clinical Cosmetic and Investigational Dermatology</t>
  </si>
  <si>
    <t>CLIN EPIDEMIOL</t>
  </si>
  <si>
    <t>Clinical Epidemiology</t>
  </si>
  <si>
    <t>CLIN EPIGENETICS</t>
  </si>
  <si>
    <t>Clinical Epigenetics</t>
  </si>
  <si>
    <t>CLIN EXP NEPHROL</t>
  </si>
  <si>
    <t>Clinical and Experimental Nephrology</t>
  </si>
  <si>
    <t>CLIN GERONTOLOGIST</t>
  </si>
  <si>
    <t>Clinical Gerontologist</t>
  </si>
  <si>
    <t>Clinics</t>
  </si>
  <si>
    <t>CLIN INTERV AGING</t>
  </si>
  <si>
    <t>Clinical Interventions in Aging</t>
  </si>
  <si>
    <t>CLIN J ONCOL NURS</t>
  </si>
  <si>
    <t>Clinical Journal of Oncology Nursing</t>
  </si>
  <si>
    <t>CLIN KIDNEY J</t>
  </si>
  <si>
    <t>Clinical Kidney Journal</t>
  </si>
  <si>
    <t>CLIN LIVER DIS</t>
  </si>
  <si>
    <t>Clinics in Liver Disease</t>
  </si>
  <si>
    <t>CLIN MASS SPECTROM</t>
  </si>
  <si>
    <t>Clinical Mass Spectrometry</t>
  </si>
  <si>
    <t>CLIN MED INSIGHTS-ON</t>
  </si>
  <si>
    <t>Clinical Medicine Insights-Oncology</t>
  </si>
  <si>
    <t>CLIN MOL HEPATOL</t>
  </si>
  <si>
    <t>Clinical and Molecular Hepatology</t>
  </si>
  <si>
    <t>CLIN NEURORADIOL</t>
  </si>
  <si>
    <t>Clinical Neuroradiology</t>
  </si>
  <si>
    <t>CLIN NURS RES</t>
  </si>
  <si>
    <t>Clinical Nursing Research</t>
  </si>
  <si>
    <t>CLIN PHARM DRUG DEV</t>
  </si>
  <si>
    <t>Clinical Pharmacology in Drug Development</t>
  </si>
  <si>
    <t>CLIN PODIATR MED SUR</t>
  </si>
  <si>
    <t>Clinics in Podiatric Medicine and Surgery</t>
  </si>
  <si>
    <t>CLIN PROTEOM</t>
  </si>
  <si>
    <t>Clinical Proteomics</t>
  </si>
  <si>
    <t>CLIN PSYCHOL SCI</t>
  </si>
  <si>
    <t>Clinical Psychological Science</t>
  </si>
  <si>
    <t>CLIN PSYCHOL-UK</t>
  </si>
  <si>
    <t>Clinical Psychologist</t>
  </si>
  <si>
    <t>CLIN PSYCHOPHARM NEU</t>
  </si>
  <si>
    <t>Clinical Psychopharmacology and Neuroscience</t>
  </si>
  <si>
    <t>CLIN RES HEPATOL GAS</t>
  </si>
  <si>
    <t>Clinics and Research in Hepatology and Gastroenterology</t>
  </si>
  <si>
    <t>CLIN SALUD</t>
  </si>
  <si>
    <t>Clinica y Salud</t>
  </si>
  <si>
    <t>CLIN SIMUL NURS</t>
  </si>
  <si>
    <t>Clinical Simulation in Nursing</t>
  </si>
  <si>
    <t>CLIN SPINE SURG</t>
  </si>
  <si>
    <t>Clinical Spine Surgery</t>
  </si>
  <si>
    <t>CLIN TRANSL ALLERGY</t>
  </si>
  <si>
    <t>Clinical and Translational Allergy</t>
  </si>
  <si>
    <t>CLIN TRANSL GASTROEN</t>
  </si>
  <si>
    <t>Clinical and Translational Gastroenterology</t>
  </si>
  <si>
    <t>CLIN TRANSL IMAGING</t>
  </si>
  <si>
    <t>Clinical and Translational Imaging</t>
  </si>
  <si>
    <t>CLIN TRANSL IMMUNOL</t>
  </si>
  <si>
    <t>Clinical &amp; Translational Immunology</t>
  </si>
  <si>
    <t>CLIN TRANSL MED</t>
  </si>
  <si>
    <t>Clinical and Translational Medicine</t>
  </si>
  <si>
    <t>CL LYMPH MYELOM LEUK</t>
  </si>
  <si>
    <t>Clinical Lymphoma Myeloma &amp; Leukemia</t>
  </si>
  <si>
    <t>CLOTH TEXT RES J</t>
  </si>
  <si>
    <t>Clothing and Textiles Research Journal</t>
  </si>
  <si>
    <t>CNS NEUROSCI THER</t>
  </si>
  <si>
    <t>CNS Neuroscience &amp; Therapeutics</t>
  </si>
  <si>
    <t>COGN BEHAV THERAPY</t>
  </si>
  <si>
    <t>COGNITIVE BEHAVIOUR THERAPY</t>
  </si>
  <si>
    <t>COGN COMPUT</t>
  </si>
  <si>
    <t>Cognitive Computation</t>
  </si>
  <si>
    <t>Cognitive research</t>
  </si>
  <si>
    <t>COGN NEUROPSYCHIATRY</t>
  </si>
  <si>
    <t>Cognitive Neuropsychiatry</t>
  </si>
  <si>
    <t>COGN NEUROSCI-UK</t>
  </si>
  <si>
    <t>Cognitive Neuroscience</t>
  </si>
  <si>
    <t>COGN PROCESS</t>
  </si>
  <si>
    <t>Cognitive Processing</t>
  </si>
  <si>
    <t>COLLABRA-PSYCHOL</t>
  </si>
  <si>
    <t>Collabra-Psychology</t>
  </si>
  <si>
    <t>COLLEGIAN</t>
  </si>
  <si>
    <t>Collegian</t>
  </si>
  <si>
    <t>COLOMB MEDICA</t>
  </si>
  <si>
    <t>Colombia Medica</t>
  </si>
  <si>
    <t>COLOR RES APPL</t>
  </si>
  <si>
    <t>COLOR RESEARCH AND APPLICATION</t>
  </si>
  <si>
    <t>COMBUST FLAME</t>
  </si>
  <si>
    <t>COMBUSTION AND FLAME</t>
  </si>
  <si>
    <t>COMMUN BIOL</t>
  </si>
  <si>
    <t>Communications Biology</t>
  </si>
  <si>
    <t>COMMUN CHEM</t>
  </si>
  <si>
    <t>Communications Chemistry</t>
  </si>
  <si>
    <t>COMMUN DISORD Q</t>
  </si>
  <si>
    <t>Communication Disorders Quarterly</t>
  </si>
  <si>
    <t>COMPARATIVE BIOCHEMISTRY AND PHYSIOLOGY A-MOLECULAR &amp; INTEGRATIVE PHYSIOLOGY</t>
  </si>
  <si>
    <t>COMPEL</t>
  </si>
  <si>
    <t>COMPEL-THE INTERNATIONAL JOURNAL FOR COMPUTATION AND MATHEMATICS IN ELECTRICAL AND ELECTRONIC ENGINEERING</t>
  </si>
  <si>
    <t>COMPLEMENT MED RES</t>
  </si>
  <si>
    <t>Complementary Medicine Research</t>
  </si>
  <si>
    <t>COMPLEMENT THER CLIN</t>
  </si>
  <si>
    <t>Complementary Therapies in Clinical Practice</t>
  </si>
  <si>
    <t>COMPR PHYSIOL</t>
  </si>
  <si>
    <t>Comprehensive Physiology</t>
  </si>
  <si>
    <t>COMPUT ASSIST SURG</t>
  </si>
  <si>
    <t>Computer Assisted Surgery</t>
  </si>
  <si>
    <t>COMPUT INTEL NEUROSC</t>
  </si>
  <si>
    <t>Computational Intelligence and Neuroscience</t>
  </si>
  <si>
    <t>COMPUT MATH ORGAN TH</t>
  </si>
  <si>
    <t>Computational and Mathematical Organization Theory</t>
  </si>
  <si>
    <t>COMPUT STRUCT BIOTEC</t>
  </si>
  <si>
    <t>Computational and Structural Biotechnology Journal</t>
  </si>
  <si>
    <t>COMPUT SUPP COOP W J</t>
  </si>
  <si>
    <t>Computer Supported Cooperative Work-The Journal of Collaborative Computing and Work Practices</t>
  </si>
  <si>
    <t>CONFL HEALTH</t>
  </si>
  <si>
    <t>Conflict and Health</t>
  </si>
  <si>
    <t>CONGENIT ANOM</t>
  </si>
  <si>
    <t>CONGENITAL ANOMALIES</t>
  </si>
  <si>
    <t>CONGENIT HEART DIS</t>
  </si>
  <si>
    <t>Congenital Heart Disease</t>
  </si>
  <si>
    <t>CONSERV GENET RESOUR</t>
  </si>
  <si>
    <t>Conservation Genetics Resources</t>
  </si>
  <si>
    <t>CONSERV PHYSIOL</t>
  </si>
  <si>
    <t>Conservation Physiology</t>
  </si>
  <si>
    <t>CONTACT LENS ANTERIO</t>
  </si>
  <si>
    <t>Contact Lens &amp; Anterior Eye</t>
  </si>
  <si>
    <t>Contributions to Nephrology</t>
  </si>
  <si>
    <t>COPD</t>
  </si>
  <si>
    <t>COPD-Journal of Chronic Obstructive Pulmonary Disease</t>
  </si>
  <si>
    <t>COPD-J COPD FDN</t>
  </si>
  <si>
    <t>Chronic Obstructive Pulmonary Diseases-Journal of the COPD Foundation</t>
  </si>
  <si>
    <t>CORRESP MHDN</t>
  </si>
  <si>
    <t>Correspondances en Metabolismes Hormones Diabetes et Nutrition</t>
  </si>
  <si>
    <t>COST EFFECT RESOUR A</t>
  </si>
  <si>
    <t>Cost Effectiveness and Resource Allocation</t>
  </si>
  <si>
    <t>CPT-PHARMACOMET SYST</t>
  </si>
  <si>
    <t>CPT-Pharmacometrics &amp; Systems Pharmacology</t>
  </si>
  <si>
    <t>CRANIO-The Journal of Craniomandibular &amp; Sleep Practice</t>
  </si>
  <si>
    <t>CRIM BEHAV MENT HEAL</t>
  </si>
  <si>
    <t>Criminal Behaviour and Mental Health</t>
  </si>
  <si>
    <t>CRISPR J</t>
  </si>
  <si>
    <t>CRISPR Journal</t>
  </si>
  <si>
    <t>CRIT CARE NURS CLIN</t>
  </si>
  <si>
    <t>Critical Care Nursing Clinics of North America</t>
  </si>
  <si>
    <t>CRIT CARE RESUSC</t>
  </si>
  <si>
    <t>Critical Care and Resuscitation</t>
  </si>
  <si>
    <t>CRIT PUBLIC HEALTH</t>
  </si>
  <si>
    <t>Critical Public Health</t>
  </si>
  <si>
    <t>CSH PERSPECT BIOL</t>
  </si>
  <si>
    <t>Cold Spring Harbor Perspectives in Biology</t>
  </si>
  <si>
    <t>CSH PERSPECT MED</t>
  </si>
  <si>
    <t>Cold Spring Harbor Perspectives in Medicine</t>
  </si>
  <si>
    <t>CULT DIVERS ETHN MIN</t>
  </si>
  <si>
    <t>Cultural Diversity &amp; Ethnic Minority Psychology</t>
  </si>
  <si>
    <t>CULT TRENDS</t>
  </si>
  <si>
    <t>Cultural Trends</t>
  </si>
  <si>
    <t>CURR ATHEROSCLER REP</t>
  </si>
  <si>
    <t>Current Atherosclerosis Reports</t>
  </si>
  <si>
    <t>CURR CARDIOL REP</t>
  </si>
  <si>
    <t>Current Cardiology Reports</t>
  </si>
  <si>
    <t>CURR DIABETES REP</t>
  </si>
  <si>
    <t>Current Diabetes Reports</t>
  </si>
  <si>
    <t>CURR DRUG DELIV</t>
  </si>
  <si>
    <t>Current Drug Delivery</t>
  </si>
  <si>
    <t>CURR ENV HLTH REP</t>
  </si>
  <si>
    <t>Current Environmental Health Reports</t>
  </si>
  <si>
    <t>CURR EPIDEMIOL REP</t>
  </si>
  <si>
    <t>Current Epidemiology Reports</t>
  </si>
  <si>
    <t>CURR HEMATOL MALIG R</t>
  </si>
  <si>
    <t>Current Hematologic Malignancy Reports</t>
  </si>
  <si>
    <t>CURR HIV-AIDS REP</t>
  </si>
  <si>
    <t>Current HIV/AIDS Reports</t>
  </si>
  <si>
    <t>CURR INFECT DIS REP</t>
  </si>
  <si>
    <t>Current Infectious Disease Reports</t>
  </si>
  <si>
    <t>CURR MED IMAGING</t>
  </si>
  <si>
    <t>Current Medical Imaging</t>
  </si>
  <si>
    <t>CURR MED SCI</t>
  </si>
  <si>
    <t>Current Medical Science</t>
  </si>
  <si>
    <t>CURR MOL PHARMACOL</t>
  </si>
  <si>
    <t>Current Molecular Pharmacology</t>
  </si>
  <si>
    <t>CURR OBES REP</t>
  </si>
  <si>
    <t>Current Obesity Reports</t>
  </si>
  <si>
    <t>CURR ONCOL</t>
  </si>
  <si>
    <t>Current Oncology</t>
  </si>
  <si>
    <t>CURR ONCOL REP</t>
  </si>
  <si>
    <t>Current Oncology Reports</t>
  </si>
  <si>
    <t>CURR OPIN ANESTHESIO</t>
  </si>
  <si>
    <t>Current Opinion in Anesthesiology</t>
  </si>
  <si>
    <t>CURR OPIN BEHAV SCI</t>
  </si>
  <si>
    <t>Current Opinion in Behavioral Sciences</t>
  </si>
  <si>
    <t>CURR OPIN CHEM ENG</t>
  </si>
  <si>
    <t>Current Opinion in Chemical Engineering</t>
  </si>
  <si>
    <t>CURR OPIN ENDOCRINOL</t>
  </si>
  <si>
    <t>Current Opinion in Endocrinology Diabetes and Obesity</t>
  </si>
  <si>
    <t>CURR OPIN GREEN SUST</t>
  </si>
  <si>
    <t>Current Opinion in Green and Sustainable Chemistry</t>
  </si>
  <si>
    <t>CURR OPIN HIV AIDS</t>
  </si>
  <si>
    <t>Current Opinion in HIV and AIDS</t>
  </si>
  <si>
    <t>CURR OPIN INSECT SCI</t>
  </si>
  <si>
    <t>Current Opinion in Insect Science</t>
  </si>
  <si>
    <t>CURR OPIN OTOLARYNGO</t>
  </si>
  <si>
    <t>Current Opinion in Otolaryngology &amp; Head and Neck Surgery</t>
  </si>
  <si>
    <t>CURR OPIN PSYCHOL</t>
  </si>
  <si>
    <t>Current Opinion in Psychology</t>
  </si>
  <si>
    <t>CURR OPIN SUPPORT PA</t>
  </si>
  <si>
    <t>Current Opinion in Supportive and Palliative Care</t>
  </si>
  <si>
    <t>CURR OPIN VIROL</t>
  </si>
  <si>
    <t>Current Opinion in Virology</t>
  </si>
  <si>
    <t>CURR OPT PHOTONICS</t>
  </si>
  <si>
    <t>Current Optics and Photonics</t>
  </si>
  <si>
    <t>CURR OSTEOPOROS REP</t>
  </si>
  <si>
    <t>Current Osteoporosis Reports</t>
  </si>
  <si>
    <t>CURR PAIN HEADACHE R</t>
  </si>
  <si>
    <t>Current Pain and Headache Reports</t>
  </si>
  <si>
    <t>CURR POLLUT REP</t>
  </si>
  <si>
    <t>Current Pollution Reports</t>
  </si>
  <si>
    <t>CURR PROB PEDIATR AD</t>
  </si>
  <si>
    <t>Current Problems in Pediatric and Adolescent Health Care</t>
  </si>
  <si>
    <t>CURR PROTEOMICS</t>
  </si>
  <si>
    <t>Current Proteomics</t>
  </si>
  <si>
    <t>CURR PSYCHIAT REP</t>
  </si>
  <si>
    <t>Current Psychiatry Reports</t>
  </si>
  <si>
    <t>CURR RES TRANSL MED</t>
  </si>
  <si>
    <t>Current Research in Translational Medicine</t>
  </si>
  <si>
    <t>CURR RHEUMATOL REP</t>
  </si>
  <si>
    <t>Current Rheumatology Reports</t>
  </si>
  <si>
    <t>CURR SPORT MED REP</t>
  </si>
  <si>
    <t>Current Sports Medicine Reports</t>
  </si>
  <si>
    <t>CURR STEM CELL RES T</t>
  </si>
  <si>
    <t>Current Stem Cell Research &amp; Therapy</t>
  </si>
  <si>
    <t>CURR TOP DEV BIOL</t>
  </si>
  <si>
    <t>Current Topics in Developmental Biology</t>
  </si>
  <si>
    <t>Current Topics in Membranes</t>
  </si>
  <si>
    <t>Current Topics in Microbiology and Immunology</t>
  </si>
  <si>
    <t>CURR TREAT OPTION NE</t>
  </si>
  <si>
    <t>Current Treatment Options in Neurology</t>
  </si>
  <si>
    <t>CURR TREAT OPTION ON</t>
  </si>
  <si>
    <t>CURRENT TREATMENT OPTIONS IN ONCOLOGY</t>
  </si>
  <si>
    <t>CURR UROL REP</t>
  </si>
  <si>
    <t>Current Urology Reports</t>
  </si>
  <si>
    <t>CYBERPSYCH BEH SOC N</t>
  </si>
  <si>
    <t>Cyberpsychology Behavior and Social Networking</t>
  </si>
  <si>
    <t>CYBERPSYCHOLOGY</t>
  </si>
  <si>
    <t>Cyberpsychology-Journal of Psychosocial Research on Cyberspace</t>
  </si>
  <si>
    <t>CYTOJOURNAL</t>
  </si>
  <si>
    <t>CytoJournal</t>
  </si>
  <si>
    <t>CYTOLOGIA</t>
  </si>
  <si>
    <t>CYTOSKELETON</t>
  </si>
  <si>
    <t>Cytoskeleton</t>
  </si>
  <si>
    <t>DAEDALUS-US</t>
  </si>
  <si>
    <t>DAEDALUS</t>
  </si>
  <si>
    <t>DAN MED J</t>
  </si>
  <si>
    <t>Danish Medical Journal</t>
  </si>
  <si>
    <t>DARU-Journal of Pharmaceutical Sciences</t>
  </si>
  <si>
    <t>DATA BASE ADV INF SY</t>
  </si>
  <si>
    <t>DATA BASE FOR ADVANCES IN INFORMATION SYSTEMS</t>
  </si>
  <si>
    <t>DATA TECHNOL APPL</t>
  </si>
  <si>
    <t>Data Technologies and Applications</t>
  </si>
  <si>
    <t>DERMATOLOGY THER</t>
  </si>
  <si>
    <t>Dermatology and Therapy</t>
  </si>
  <si>
    <t>DERMATOL PRACT CONCE</t>
  </si>
  <si>
    <t>Dermatology Practical &amp; Conceptual</t>
  </si>
  <si>
    <t>DERMATOL SIN</t>
  </si>
  <si>
    <t>Dermatologica Sinica</t>
  </si>
  <si>
    <t>DEV COGN NEUROS-NETH</t>
  </si>
  <si>
    <t>Developmental Cognitive Neuroscience</t>
  </si>
  <si>
    <t>DEV NEUROREHABIL</t>
  </si>
  <si>
    <t>Developmental Neurorehabilitation</t>
  </si>
  <si>
    <t>DIABETES METAB J</t>
  </si>
  <si>
    <t>Diabetes &amp; Metabolism Journal</t>
  </si>
  <si>
    <t>DIABETES THER</t>
  </si>
  <si>
    <t>Diabetes Therapy</t>
  </si>
  <si>
    <t>DIABETES VASC DIS RE</t>
  </si>
  <si>
    <t>Diabetes &amp; Vascular Disease Research</t>
  </si>
  <si>
    <t>DIABET METAB SYND OB</t>
  </si>
  <si>
    <t>Diabetes Metabolic Syndrome and Obesity-Targets and Therapy</t>
  </si>
  <si>
    <t>DIABETOL METAB SYNDR</t>
  </si>
  <si>
    <t>Diabetology &amp; Metabolic Syndrome</t>
  </si>
  <si>
    <t>DIABETOLOGE</t>
  </si>
  <si>
    <t>Diabetologe</t>
  </si>
  <si>
    <t>DIAGN INTERV IMAG</t>
  </si>
  <si>
    <t>Diagnostic and Interventional Imaging</t>
  </si>
  <si>
    <t>DIAGNOSTICS</t>
  </si>
  <si>
    <t>Diagnostics</t>
  </si>
  <si>
    <t>DIAGN PATHOL</t>
  </si>
  <si>
    <t>Diagnostic Pathology</t>
  </si>
  <si>
    <t>DIALOGUES CLIN NEURO</t>
  </si>
  <si>
    <t>Dialogues in Clinical Neuroscience</t>
  </si>
  <si>
    <t>DIFFERENCES</t>
  </si>
  <si>
    <t>Differences-A Journal of Feminist Cultural Studies</t>
  </si>
  <si>
    <t>DIGIT HEALTH</t>
  </si>
  <si>
    <t>Digital Health</t>
  </si>
  <si>
    <t>DISABIL HEALTH J</t>
  </si>
  <si>
    <t>Disability and Health Journal</t>
  </si>
  <si>
    <t>DISABIL REHABIL-ASSI</t>
  </si>
  <si>
    <t>Disability and Rehabilitation-Assistive Technology</t>
  </si>
  <si>
    <t>DISASTER MED PUBLIC</t>
  </si>
  <si>
    <t>Disaster Medicine and Public Health Preparedness</t>
  </si>
  <si>
    <t>DISASTER PREV MANAG</t>
  </si>
  <si>
    <t>Disaster Prevention and Management</t>
  </si>
  <si>
    <t>DISASTERS</t>
  </si>
  <si>
    <t>DISCOV MED</t>
  </si>
  <si>
    <t>Discovery Medicine</t>
  </si>
  <si>
    <t>DOSE-RESPONSE</t>
  </si>
  <si>
    <t>Dose-Response</t>
  </si>
  <si>
    <t>DREAMING</t>
  </si>
  <si>
    <t>DRUG DELIV TRANSL RE</t>
  </si>
  <si>
    <t>Drug Delivery and Translational Research</t>
  </si>
  <si>
    <t>DRUG DES DEV THER</t>
  </si>
  <si>
    <t>Drug Design Development and Therapy</t>
  </si>
  <si>
    <t>DRUG TEST ANAL</t>
  </si>
  <si>
    <t>Drug Testing and Analysis</t>
  </si>
  <si>
    <t>DTSCH ARZTEBL INT</t>
  </si>
  <si>
    <t>Deutsches Arzteblatt International</t>
  </si>
  <si>
    <t>DYNAMIS</t>
  </si>
  <si>
    <t>Dynamis</t>
  </si>
  <si>
    <t>EARLY CHILD DEV CARE</t>
  </si>
  <si>
    <t>Early Child Development and Care</t>
  </si>
  <si>
    <t>EARLY EDUC DEV</t>
  </si>
  <si>
    <t>Early Education and Development</t>
  </si>
  <si>
    <t>EARLY SCI MED</t>
  </si>
  <si>
    <t>Early Science and Medicine</t>
  </si>
  <si>
    <t>EARTH SCI HIST</t>
  </si>
  <si>
    <t>EARTH SCIENCES HISTORY</t>
  </si>
  <si>
    <t>EARTH SCI INFORM</t>
  </si>
  <si>
    <t>Earth Science Informatics</t>
  </si>
  <si>
    <t>E ASIAN SCI TECH SOC</t>
  </si>
  <si>
    <t>East Asian Science Technology and Society-An International Journal</t>
  </si>
  <si>
    <t>EAT BEHAV</t>
  </si>
  <si>
    <t>Eating Behaviors</t>
  </si>
  <si>
    <t>EAT DISORD</t>
  </si>
  <si>
    <t>Eating Disorders</t>
  </si>
  <si>
    <t>EBIOMEDICINE</t>
  </si>
  <si>
    <t>EBioMedicine</t>
  </si>
  <si>
    <t>ECHOCARDIOGRAPHY-A JOURNAL OF CARDIOVASCULAR ULTRASOUND AND ALLIED TECHNIQUES</t>
  </si>
  <si>
    <t>ECONOMET THEOR</t>
  </si>
  <si>
    <t>ECONOMETRIC THEORY</t>
  </si>
  <si>
    <t>EDUC CHEM ENG</t>
  </si>
  <si>
    <t>Education for Chemical Engineers</t>
  </si>
  <si>
    <t>EDUC MEAS-ISSUES PRA</t>
  </si>
  <si>
    <t>Educational Measurement-Issues and Practice</t>
  </si>
  <si>
    <t>EDUC PSYCHOL-UK</t>
  </si>
  <si>
    <t>Educational Psychology</t>
  </si>
  <si>
    <t>EDUC TRAIN AUTISM DE</t>
  </si>
  <si>
    <t>Education and Training in Autism and Developmental Disabilities</t>
  </si>
  <si>
    <t>EDUC TREAT CHILD</t>
  </si>
  <si>
    <t>Education and Treatment of Children</t>
  </si>
  <si>
    <t>EFORT OPEN REV</t>
  </si>
  <si>
    <t>EFORT Open Reviews</t>
  </si>
  <si>
    <t>EJNMMI PHYS</t>
  </si>
  <si>
    <t>EJNMMI Physics</t>
  </si>
  <si>
    <t>EJNMMI RES</t>
  </si>
  <si>
    <t>EJNMMI Research</t>
  </si>
  <si>
    <t>ELECTRON J STAT</t>
  </si>
  <si>
    <t>Electronic Journal of Statistics</t>
  </si>
  <si>
    <t>ELIFE</t>
  </si>
  <si>
    <t>eLife</t>
  </si>
  <si>
    <t>EMBO MOL MED</t>
  </si>
  <si>
    <t>EMBO Molecular Medicine</t>
  </si>
  <si>
    <t>E MEDITERR HEALTH J</t>
  </si>
  <si>
    <t>EASTERN MEDITERRANEAN HEALTH JOURNAL</t>
  </si>
  <si>
    <t>EMERG ADULTHOOD</t>
  </si>
  <si>
    <t>Emerging Adulthood</t>
  </si>
  <si>
    <t>EMERGENCIAS</t>
  </si>
  <si>
    <t>Emergencias</t>
  </si>
  <si>
    <t>EMERG MED INT</t>
  </si>
  <si>
    <t>Emergency Medicine International</t>
  </si>
  <si>
    <t>EMERG MICROBES INFEC</t>
  </si>
  <si>
    <t>Emerging Microbes &amp; Infections</t>
  </si>
  <si>
    <t>EMOT REV</t>
  </si>
  <si>
    <t>Emotion Review</t>
  </si>
  <si>
    <t>EMOT SPACE SOC</t>
  </si>
  <si>
    <t>Emotion Space and Society</t>
  </si>
  <si>
    <t>EMPIR STUD ARTS</t>
  </si>
  <si>
    <t>Empirical Studies of the Arts</t>
  </si>
  <si>
    <t>ENDOCR CONNECT</t>
  </si>
  <si>
    <t>Endocrine Connections</t>
  </si>
  <si>
    <t>ENDOCRINOL DIAB NUTR</t>
  </si>
  <si>
    <t>Endocrinologia Diabetes y Nutricion</t>
  </si>
  <si>
    <t>ENDOCRINOL METAB</t>
  </si>
  <si>
    <t>Endocrinology and Metabolism</t>
  </si>
  <si>
    <t>ENDOCR METAB IMMUNE</t>
  </si>
  <si>
    <t>Endocrine Metabolic &amp; Immune Disorders-Drug Targets</t>
  </si>
  <si>
    <t>ENDOCR PRACT</t>
  </si>
  <si>
    <t>Endocrine Practice</t>
  </si>
  <si>
    <t>ENDOKRYNOL POL</t>
  </si>
  <si>
    <t>Endokrynologia Polska</t>
  </si>
  <si>
    <t>ENDOSC ULTRASOUND</t>
  </si>
  <si>
    <t>Endoscopic Ultrasound</t>
  </si>
  <si>
    <t>ENERG ENVIRON SCI</t>
  </si>
  <si>
    <t>Energy &amp; Environmental Science</t>
  </si>
  <si>
    <t>ENEURO</t>
  </si>
  <si>
    <t>eNeuro</t>
  </si>
  <si>
    <t>ENG APPL COMP FLUID</t>
  </si>
  <si>
    <t>Engineering Applications of Computational Fluid Mechanics</t>
  </si>
  <si>
    <t>ENG STUD</t>
  </si>
  <si>
    <t>Engineering Studies</t>
  </si>
  <si>
    <t>ENTERTAIN COMPUT</t>
  </si>
  <si>
    <t>Entertainment Computing</t>
  </si>
  <si>
    <t>ENVIRON HEALTH PREV</t>
  </si>
  <si>
    <t>Environmental Health and Preventive Medicine</t>
  </si>
  <si>
    <t>ENVIRON MICROBIOME</t>
  </si>
  <si>
    <t>Environmental Microbiome</t>
  </si>
  <si>
    <t>ENVIRON SCI-NANO</t>
  </si>
  <si>
    <t>Environmental Science-Nano</t>
  </si>
  <si>
    <t>ENVIRON SCI-PROC IMP</t>
  </si>
  <si>
    <t>Environmental Science-Processes &amp; Impacts</t>
  </si>
  <si>
    <t>ENVIRON TECHNOL INNO</t>
  </si>
  <si>
    <t>Environmental Technology &amp; Innovation</t>
  </si>
  <si>
    <t>ENV MICROBIOL REP</t>
  </si>
  <si>
    <t>Environmental Microbiology Reports</t>
  </si>
  <si>
    <t>ENV POLLUT BIOAVAIL</t>
  </si>
  <si>
    <t>Environmental Pollutants and Bioavailability</t>
  </si>
  <si>
    <t>EPIDEMICS-NETH</t>
  </si>
  <si>
    <t>Epidemics</t>
  </si>
  <si>
    <t>EPIDEMIOL HEALTH</t>
  </si>
  <si>
    <t>Epidemiology and Health</t>
  </si>
  <si>
    <t>EPIDEMIOL MIKROBI IM</t>
  </si>
  <si>
    <t>EPIDEMIOLOGIE MIKROBIOLOGIE IMUNOLOGIE</t>
  </si>
  <si>
    <t>EPIDEMIOL PSYCH SCI</t>
  </si>
  <si>
    <t>Epidemiology and Psychiatric Sciences</t>
  </si>
  <si>
    <t>EPIGENET CHROMATIN</t>
  </si>
  <si>
    <t>Epigenetics &amp; Chromatin</t>
  </si>
  <si>
    <t>EPIGENETICS-US</t>
  </si>
  <si>
    <t>Epigenetics</t>
  </si>
  <si>
    <t>EPIGENOMICS-UK</t>
  </si>
  <si>
    <t>Epigenomics</t>
  </si>
  <si>
    <t>EPILEPSY CURR</t>
  </si>
  <si>
    <t>Epilepsy Currents</t>
  </si>
  <si>
    <t>EPJ QUANTUM TECHNOL</t>
  </si>
  <si>
    <t>EPJ Quantum Technology</t>
  </si>
  <si>
    <t>EPMA J</t>
  </si>
  <si>
    <t>EPMA Journal</t>
  </si>
  <si>
    <t>ERNAHRUNGS UMSCHAU</t>
  </si>
  <si>
    <t>ESAIM-PROBAB STAT</t>
  </si>
  <si>
    <t>ESAIM-Probability and Statistics</t>
  </si>
  <si>
    <t>ESC HEART FAIL</t>
  </si>
  <si>
    <t>ESC Heart Failure</t>
  </si>
  <si>
    <t>ESMO OPEN</t>
  </si>
  <si>
    <t>ESMO Open</t>
  </si>
  <si>
    <t>ESOPHAGUS-TOKYO</t>
  </si>
  <si>
    <t>Esophagus</t>
  </si>
  <si>
    <t>Essays in Biochemistry</t>
  </si>
  <si>
    <t>ESTUD PSICOL-MADRID</t>
  </si>
  <si>
    <t>Estudios de Psicologia</t>
  </si>
  <si>
    <t>ETHICS INF TECHNOL</t>
  </si>
  <si>
    <t>Ethics and Information Technology</t>
  </si>
  <si>
    <t>ETHIOP J HEALTH DEV</t>
  </si>
  <si>
    <t>Ethiopian Journal of Health Development</t>
  </si>
  <si>
    <t>EUR ANN OTORHINOLARY</t>
  </si>
  <si>
    <t>European Annals of Otorhinolaryngology-Head and Neck Diseases</t>
  </si>
  <si>
    <t>EURASIP J AUDIO SPEE</t>
  </si>
  <si>
    <t>EURASIP Journal on Audio Speech and Music Processing</t>
  </si>
  <si>
    <t>EUR GERIATR MED</t>
  </si>
  <si>
    <t>European Geriatric Medicine</t>
  </si>
  <si>
    <t>EUR HEART J-ACUTE CA</t>
  </si>
  <si>
    <t>European Heart Journal-Acute Cardiovascular Care</t>
  </si>
  <si>
    <t>EUR HEART J-CARD IMG</t>
  </si>
  <si>
    <t>European Heart Journal-Cardiovascular Imaging</t>
  </si>
  <si>
    <t>EUR HEART J-CARD PHA</t>
  </si>
  <si>
    <t>European Heart Journal-Cardiovascular Pharmacotherapy</t>
  </si>
  <si>
    <t>EUR HEART J QUAL CARE CLIN OUTCOMES</t>
  </si>
  <si>
    <t>European Heart Journal - Quality of Care and Clinical Outcomes</t>
  </si>
  <si>
    <t>EUR J CARDIOVASC NUR</t>
  </si>
  <si>
    <t>European Journal of Cardiovascular Nursing</t>
  </si>
  <si>
    <t>EUR J DENT EDUC</t>
  </si>
  <si>
    <t>European Journal of Dental Education</t>
  </si>
  <si>
    <t>EUR J DEV PSYCHOL</t>
  </si>
  <si>
    <t>European Journal of Developmental Psychology</t>
  </si>
  <si>
    <t>EUR J EMERG MED</t>
  </si>
  <si>
    <t>European Journal of Emergency Medicine</t>
  </si>
  <si>
    <t>EUR J FUTURES RES</t>
  </si>
  <si>
    <t>European Journal of Futures Research</t>
  </si>
  <si>
    <t>EUR J GEN PRACT</t>
  </si>
  <si>
    <t>European Journal of General Practice</t>
  </si>
  <si>
    <t>EUR J HEALTH ECON</t>
  </si>
  <si>
    <t>European Journal of Health Economics</t>
  </si>
  <si>
    <t>EUR J HEALTH PSYCHOL</t>
  </si>
  <si>
    <t>European Journal of Health Psychology</t>
  </si>
  <si>
    <t>EUR J HOSP PHARM</t>
  </si>
  <si>
    <t>European Journal of Hospital Pharmacy</t>
  </si>
  <si>
    <t>EUR J INFORM SYST</t>
  </si>
  <si>
    <t>EUROPEAN JOURNAL OF INFORMATION SYSTEMS</t>
  </si>
  <si>
    <t>EUR J INTEGR MED</t>
  </si>
  <si>
    <t>European Journal of Integrative Medicine</t>
  </si>
  <si>
    <t>European Journal of Obstetrics &amp; Gynecology and Reproductive Biology</t>
  </si>
  <si>
    <t>EUR J ORAL IMPLANTOL</t>
  </si>
  <si>
    <t>European Journal of Oral Implantology</t>
  </si>
  <si>
    <t>EUR J PAEDIATR DENT</t>
  </si>
  <si>
    <t>European Journal of Paediatric Dentistry</t>
  </si>
  <si>
    <t>EUR J PHILOS SCI</t>
  </si>
  <si>
    <t>European Journal for Philosophy of Science</t>
  </si>
  <si>
    <t>EUR J PHYS REHAB MED</t>
  </si>
  <si>
    <t>European Journal of Physical and Rehabilitation Medicine</t>
  </si>
  <si>
    <t>European Journal of Population-Revue Europeenne de Demographie</t>
  </si>
  <si>
    <t>EUR J PREV CARDIOL</t>
  </si>
  <si>
    <t>European Journal of Preventive Cardiology</t>
  </si>
  <si>
    <t>EUR J PSYCHOL APPL L</t>
  </si>
  <si>
    <t>European Journal of Psychology Applied to Legal Context</t>
  </si>
  <si>
    <t>EUR J PSYCHOTRAUMATO</t>
  </si>
  <si>
    <t>European Journal of Psychotraumatology</t>
  </si>
  <si>
    <t>EUROINTERVENTION</t>
  </si>
  <si>
    <t>EuroIntervention</t>
  </si>
  <si>
    <t>European urology oncology</t>
  </si>
  <si>
    <t>EUROSURVEILLANCE</t>
  </si>
  <si>
    <t>Eurosurveillance</t>
  </si>
  <si>
    <t>EUR PHYS J D</t>
  </si>
  <si>
    <t>EUROPEAN PHYSICAL JOURNAL D</t>
  </si>
  <si>
    <t>EUR PHYS J H</t>
  </si>
  <si>
    <t>European Physical Journal H</t>
  </si>
  <si>
    <t>EUR RESPIR REV</t>
  </si>
  <si>
    <t>European Respiratory Review</t>
  </si>
  <si>
    <t>EUR REV APPL PSYCHOL</t>
  </si>
  <si>
    <t>EUROPEAN REVIEW OF APPLIED PSYCHOLOGY-REVUE EUROPEENNE DE PSYCHOLOGIE APPLIQUEE</t>
  </si>
  <si>
    <t>EUR REV SOC PSYCHOL</t>
  </si>
  <si>
    <t>European Review of Social Psychology</t>
  </si>
  <si>
    <t>EUR THYROID J</t>
  </si>
  <si>
    <t>European Thyroid Journal</t>
  </si>
  <si>
    <t>EUR UROL FOCUS</t>
  </si>
  <si>
    <t>European Urology Focus</t>
  </si>
  <si>
    <t>EVALUATION-US</t>
  </si>
  <si>
    <t>Evaluation</t>
  </si>
  <si>
    <t>Evid Based Mental Health</t>
  </si>
  <si>
    <t>Evidence Based Mental Health</t>
  </si>
  <si>
    <t>EVID POLICY</t>
  </si>
  <si>
    <t>Evidence &amp; Policy</t>
  </si>
  <si>
    <t>EVODEVO</t>
  </si>
  <si>
    <t>EvoDevo</t>
  </si>
  <si>
    <t>Evolutionary Biology</t>
  </si>
  <si>
    <t>EVOL MED PUBLIC HLTH</t>
  </si>
  <si>
    <t>Evolution Medicine and Public Health</t>
  </si>
  <si>
    <t>EVOL PSYCHOL-US</t>
  </si>
  <si>
    <t>Evolutionary Psychology</t>
  </si>
  <si>
    <t>EXCLI J</t>
  </si>
  <si>
    <t>EXCLI Journal</t>
  </si>
  <si>
    <t>EXPERT OPIN DRUG DIS</t>
  </si>
  <si>
    <t>Expert Opinion on Drug Discovery</t>
  </si>
  <si>
    <t>EXPERT OPIN ORPHAN D</t>
  </si>
  <si>
    <t>Expert Opinion on Orphan Drugs</t>
  </si>
  <si>
    <t>EXPERT REV CLIN IMMU</t>
  </si>
  <si>
    <t>Expert Review of Clinical Immunology</t>
  </si>
  <si>
    <t>EXPERT REV CLIN PHAR</t>
  </si>
  <si>
    <t>Expert Review of Clinical Pharmacology</t>
  </si>
  <si>
    <t>EXPERT REV GASTROENT</t>
  </si>
  <si>
    <t>Expert Review of Gastroenterology &amp; Hepatology</t>
  </si>
  <si>
    <t>EXPERT REV HEMATOL</t>
  </si>
  <si>
    <t>Expert Review of Hematology</t>
  </si>
  <si>
    <t>EXPERT REV MOL MED</t>
  </si>
  <si>
    <t>EXPERT REVIEWS IN MOLECULAR MEDICINE</t>
  </si>
  <si>
    <t>EXPERT REV NEUROTHER</t>
  </si>
  <si>
    <t>Expert Review of Neurotherapeutics</t>
  </si>
  <si>
    <t>EXPERT REV PHARM OUT</t>
  </si>
  <si>
    <t>Expert Review of Pharmacoeconomics &amp; Outcomes Research</t>
  </si>
  <si>
    <t>EXPERT REV RESP MED</t>
  </si>
  <si>
    <t>Expert Review of Respiratory Medicine</t>
  </si>
  <si>
    <t>EXP HEMATOL ONCOL</t>
  </si>
  <si>
    <t>Experimental Hematology &amp; Oncology</t>
  </si>
  <si>
    <t>EXP NEUROBIOL</t>
  </si>
  <si>
    <t>Experimental Neurobiology</t>
  </si>
  <si>
    <t>EXP THER MED</t>
  </si>
  <si>
    <t>Experimental and Therapeutic Medicine</t>
  </si>
  <si>
    <t>EXTREMES</t>
  </si>
  <si>
    <t>Extremes</t>
  </si>
  <si>
    <t>EYE CONTACT LENS</t>
  </si>
  <si>
    <t>Eye &amp; Contact Lens-Science and Clinical Practice</t>
  </si>
  <si>
    <t>EYE VISION</t>
  </si>
  <si>
    <t>Eye and Vision</t>
  </si>
  <si>
    <t>FACETS</t>
  </si>
  <si>
    <t>Facets</t>
  </si>
  <si>
    <t>FACIAL PLAST SURG CL</t>
  </si>
  <si>
    <t>Facial Plastic Surgery Clinics of North America</t>
  </si>
  <si>
    <t>FACTA UNIV-SER MECH</t>
  </si>
  <si>
    <t>Facta Universitatis-Series Mechanical Engineering</t>
  </si>
  <si>
    <t>FAM SYST HEALTH</t>
  </si>
  <si>
    <t>Families Systems &amp; Health</t>
  </si>
  <si>
    <t>FEBS OPEN BIO</t>
  </si>
  <si>
    <t>FEBS Open Bio</t>
  </si>
  <si>
    <t>FEMALE PELVIC MED RE</t>
  </si>
  <si>
    <t>Female Pelvic Medicine and Reconstructive Surgery</t>
  </si>
  <si>
    <t>FEMINISTISCHE STUD</t>
  </si>
  <si>
    <t>Feministische Studien</t>
  </si>
  <si>
    <t>FEM LEGAL STUD</t>
  </si>
  <si>
    <t>Feminist Legal Studies</t>
  </si>
  <si>
    <t>FEM THEOR</t>
  </si>
  <si>
    <t>Feminist Theory</t>
  </si>
  <si>
    <t>FERMENTATION-BASEL</t>
  </si>
  <si>
    <t>Fermentation-Basel</t>
  </si>
  <si>
    <t>FIELD METHOD</t>
  </si>
  <si>
    <t>Field Methods</t>
  </si>
  <si>
    <t>FIRST LANG</t>
  </si>
  <si>
    <t>First Language</t>
  </si>
  <si>
    <t>FLUIDS BARRIERS CNS</t>
  </si>
  <si>
    <t>Fluids and Barriers of the CNS</t>
  </si>
  <si>
    <t>FLUORIDE</t>
  </si>
  <si>
    <t>FOCUS AUTISM DEV DIS</t>
  </si>
  <si>
    <t>Focus on Autism and Other Developmental Disabilities</t>
  </si>
  <si>
    <t>FOLIA MORPHOL</t>
  </si>
  <si>
    <t>FOLIA MORPHOLOGICA</t>
  </si>
  <si>
    <t>FOLIA PHONIATR LOGO</t>
  </si>
  <si>
    <t>FOLIA PHONIATRICA ET LOGOPAEDICA</t>
  </si>
  <si>
    <t>Food Additives and Contaminants Part A-Chemistry Analysis Control Exposure &amp; Risk Assessment</t>
  </si>
  <si>
    <t>FOOD ENVIRON VIROL</t>
  </si>
  <si>
    <t>Food and Environmental Virology</t>
  </si>
  <si>
    <t>FOOD FUNCT</t>
  </si>
  <si>
    <t>Food &amp; Function</t>
  </si>
  <si>
    <t>FOOD NUTR RES</t>
  </si>
  <si>
    <t>Food &amp; Nutrition Research</t>
  </si>
  <si>
    <t>FOOD SCI HUM WELL</t>
  </si>
  <si>
    <t>Food Science and Human Wellness</t>
  </si>
  <si>
    <t>FOOT ANKLE CLIN</t>
  </si>
  <si>
    <t>Foot and Ankle Clinics</t>
  </si>
  <si>
    <t>FOOT ANKLE SURG</t>
  </si>
  <si>
    <t>Foot and Ankle Surgery</t>
  </si>
  <si>
    <t>FORENSIC CHEM</t>
  </si>
  <si>
    <t>Forensic Chemistry</t>
  </si>
  <si>
    <t>FORENSIC SCI MED PAT</t>
  </si>
  <si>
    <t>Forensic Science Medicine and Pathology</t>
  </si>
  <si>
    <t>FORENSIC TOXICOL</t>
  </si>
  <si>
    <t>Forensic Toxicology</t>
  </si>
  <si>
    <t>FOUND CHEM</t>
  </si>
  <si>
    <t>Foundations of Chemistry</t>
  </si>
  <si>
    <t>FOUND SCI</t>
  </si>
  <si>
    <t>Foundations of Science</t>
  </si>
  <si>
    <t>FRICTION</t>
  </si>
  <si>
    <t>Friction</t>
  </si>
  <si>
    <t>FRONT AGING NEUROSCI</t>
  </si>
  <si>
    <t>Frontiers in Aging Neuroscience</t>
  </si>
  <si>
    <t>FRONT BEHAV NEUROSCI</t>
  </si>
  <si>
    <t>Frontiers in Behavioral Neuroscience</t>
  </si>
  <si>
    <t>FRONT BIOENG BIOTECH</t>
  </si>
  <si>
    <t>Frontiers in Bioengineering and Biotechnology</t>
  </si>
  <si>
    <t>FRONT BIOSCI-LANDMRK</t>
  </si>
  <si>
    <t>Frontiers in Bioscience-Landmark</t>
  </si>
  <si>
    <t>FRONT CARDIOVASC MED</t>
  </si>
  <si>
    <t>Frontiers in Cardiovascular Medicine</t>
  </si>
  <si>
    <t>FRONT CELL DEV BIOL</t>
  </si>
  <si>
    <t>Frontiers in Cell and Developmental Biology</t>
  </si>
  <si>
    <t>FRONT CELL INFECT MI</t>
  </si>
  <si>
    <t>Frontiers in Cellular and Infection Microbiology</t>
  </si>
  <si>
    <t>FRONT CELL NEUROSCI</t>
  </si>
  <si>
    <t>Frontiers in Cellular Neuroscience</t>
  </si>
  <si>
    <t>FRONT CHEM</t>
  </si>
  <si>
    <t>Frontiers in Chemistry</t>
  </si>
  <si>
    <t>FRONT COMPUT NEUROSC</t>
  </si>
  <si>
    <t>Frontiers in Computational Neuroscience</t>
  </si>
  <si>
    <t>FRONT ENDOCRINOL</t>
  </si>
  <si>
    <t>Frontiers in Endocrinology</t>
  </si>
  <si>
    <t>FRONT GENET</t>
  </si>
  <si>
    <t>Frontiers in Genetics</t>
  </si>
  <si>
    <t>Frontiers of Hormone Research</t>
  </si>
  <si>
    <t>Frontiers in synaptic neuroscience</t>
  </si>
  <si>
    <t>FRONT IMMUNOL</t>
  </si>
  <si>
    <t>Frontiers in Immunology</t>
  </si>
  <si>
    <t>FRONT INTEGR NEUROSC</t>
  </si>
  <si>
    <t>Frontiers in Integrative Neuroscience</t>
  </si>
  <si>
    <t>FRONT LIFE SCI</t>
  </si>
  <si>
    <t>Frontiers in Life Science</t>
  </si>
  <si>
    <t>FRONT MECH ENG-PRC</t>
  </si>
  <si>
    <t>Frontiers of Mechanical Engineering</t>
  </si>
  <si>
    <t>FRONT MED-LAUSANNE</t>
  </si>
  <si>
    <t>Frontiers in Medicine</t>
  </si>
  <si>
    <t>FRONT MED-PRC</t>
  </si>
  <si>
    <t>Frontiers of Medicine</t>
  </si>
  <si>
    <t>FRONT MICROBIOL</t>
  </si>
  <si>
    <t>Frontiers in Microbiology</t>
  </si>
  <si>
    <t>FRONT MOL BIOSCI</t>
  </si>
  <si>
    <t>Frontiers in Molecular Biosciences</t>
  </si>
  <si>
    <t>FRONT MOL NEUROSCI</t>
  </si>
  <si>
    <t>Frontiers in Molecular Neuroscience</t>
  </si>
  <si>
    <t>FRONT NEURAL CIRCUIT</t>
  </si>
  <si>
    <t>Frontiers in Neural Circuits</t>
  </si>
  <si>
    <t>FRONT NEUROANAT</t>
  </si>
  <si>
    <t>Frontiers in Neuroanatomy</t>
  </si>
  <si>
    <t>FRONT NEUROINFORM</t>
  </si>
  <si>
    <t>Frontiers in Neuroinformatics</t>
  </si>
  <si>
    <t>FRONT NEUROL</t>
  </si>
  <si>
    <t>Frontiers in Neurology</t>
  </si>
  <si>
    <t>FRONT NEUROROBOTICS</t>
  </si>
  <si>
    <t>Frontiers in Neurorobotics</t>
  </si>
  <si>
    <t>FRONT NEUROSCI-SWITZ</t>
  </si>
  <si>
    <t>Frontiers in Neuroscience</t>
  </si>
  <si>
    <t>FRONT NUTR</t>
  </si>
  <si>
    <t>Frontiers in Nutrition</t>
  </si>
  <si>
    <t>FRONT ONCOL</t>
  </si>
  <si>
    <t>Frontiers in Oncology</t>
  </si>
  <si>
    <t>FRONT PEDIATR</t>
  </si>
  <si>
    <t>Frontiers in Pediatrics</t>
  </si>
  <si>
    <t>FRONT PHARMACOL</t>
  </si>
  <si>
    <t>Frontiers in Pharmacology</t>
  </si>
  <si>
    <t>FRONT PHYSIOL</t>
  </si>
  <si>
    <t>Frontiers in Physiology</t>
  </si>
  <si>
    <t>FRONT PSYCHIATRY</t>
  </si>
  <si>
    <t>Frontiers in Psychiatry</t>
  </si>
  <si>
    <t>FRONT PSYCHOL</t>
  </si>
  <si>
    <t>Frontiers in Psychology</t>
  </si>
  <si>
    <t>FRONT PUBLIC HEALTH</t>
  </si>
  <si>
    <t>Frontiers in Public Health</t>
  </si>
  <si>
    <t>FRONT SURG</t>
  </si>
  <si>
    <t>Frontiers in Surgery</t>
  </si>
  <si>
    <t>FRONT SYST NEUROSCI</t>
  </si>
  <si>
    <t>Frontiers in Systems Neuroscience</t>
  </si>
  <si>
    <t>FRONT VET SCI</t>
  </si>
  <si>
    <t>Frontiers in Veterinary Science</t>
  </si>
  <si>
    <t>FUNGAL BIOL REV</t>
  </si>
  <si>
    <t>Fungal Biology Reviews</t>
  </si>
  <si>
    <t>FUNGAL BIOL-UK</t>
  </si>
  <si>
    <t>Fungal Biology</t>
  </si>
  <si>
    <t>FUTURE MED CHEM</t>
  </si>
  <si>
    <t>Future Medicinal Chemistry</t>
  </si>
  <si>
    <t>FUTURE ONCOL</t>
  </si>
  <si>
    <t>Future Oncology</t>
  </si>
  <si>
    <t>G3-GENES GENOM GENET</t>
  </si>
  <si>
    <t>G3-Genes Genomes Genetics</t>
  </si>
  <si>
    <t>GAC SANIT</t>
  </si>
  <si>
    <t>Gaceta Sanitaria</t>
  </si>
  <si>
    <t>GAMES HEALTH J</t>
  </si>
  <si>
    <t>Games for Health Journal</t>
  </si>
  <si>
    <t>Gastric Cancer</t>
  </si>
  <si>
    <t>GASTROENTEROL REP</t>
  </si>
  <si>
    <t>Gastroenterology Report</t>
  </si>
  <si>
    <t>GASTROENT HEPAT-BARC</t>
  </si>
  <si>
    <t>Gastroenterologia y Hepatologia</t>
  </si>
  <si>
    <t>GASTROENT RES PRACT</t>
  </si>
  <si>
    <t>Gastroenterology Research and Practice</t>
  </si>
  <si>
    <t>GEDRAG ORGAN</t>
  </si>
  <si>
    <t>Gedrag &amp; Organisatie</t>
  </si>
  <si>
    <t>GENDER LANG</t>
  </si>
  <si>
    <t>Gender and Language</t>
  </si>
  <si>
    <t>GENES-BASEL</t>
  </si>
  <si>
    <t>Genes</t>
  </si>
  <si>
    <t>GENES DIS</t>
  </si>
  <si>
    <t>Genes &amp; Diseases</t>
  </si>
  <si>
    <t>GENES ENVIRON</t>
  </si>
  <si>
    <t>Genes and Environment</t>
  </si>
  <si>
    <t>GENETIKA-BELGRADE</t>
  </si>
  <si>
    <t>Genetika-Belgrade</t>
  </si>
  <si>
    <t>Genetics Research</t>
  </si>
  <si>
    <t>GENET TEST MOL BIOMA</t>
  </si>
  <si>
    <t>Genetic Testing and Molecular Biomarkers</t>
  </si>
  <si>
    <t>GENOME BIOL EVOL</t>
  </si>
  <si>
    <t>Genome Biology and Evolution</t>
  </si>
  <si>
    <t>GENOME MED</t>
  </si>
  <si>
    <t>Genome Medicine</t>
  </si>
  <si>
    <t>GENOM PROTEOM BIOINF</t>
  </si>
  <si>
    <t>GENOMICS PROTEOMICS &amp; BIOINFORMATICS</t>
  </si>
  <si>
    <t>GEN THORAC CARDIOVAS</t>
  </si>
  <si>
    <t>General Thoracic and Cardiovascular Surgery</t>
  </si>
  <si>
    <t>GEOHEALTH</t>
  </si>
  <si>
    <t>GeoHealth</t>
  </si>
  <si>
    <t>GERIATR ORTHOP SURG</t>
  </si>
  <si>
    <t>Geriatric Orthopaedic Surgery &amp; Rehabilitation</t>
  </si>
  <si>
    <t>GERIATR PSYCHOL NEUR</t>
  </si>
  <si>
    <t>Geriatrie et Psychologie Neuropsychiatrie de Vieillissement</t>
  </si>
  <si>
    <t>GER J HUM RESOUR MAN</t>
  </si>
  <si>
    <t>German Journal of Human Resource Management-Zeitschrift fur Personalforschung</t>
  </si>
  <si>
    <t>GERODONTOLOGY</t>
  </si>
  <si>
    <t>GEROSCIENCE</t>
  </si>
  <si>
    <t>GeroScience</t>
  </si>
  <si>
    <t>GIFTED CHILD QUART</t>
  </si>
  <si>
    <t>GIFTED CHILD QUARTERLY</t>
  </si>
  <si>
    <t>GIGASCIENCE</t>
  </si>
  <si>
    <t>GigaScience</t>
  </si>
  <si>
    <t>GINEKOL POL</t>
  </si>
  <si>
    <t>Ginekologia Polska</t>
  </si>
  <si>
    <t>GIORN ITAL DERMAT V</t>
  </si>
  <si>
    <t>GIORNALE ITALIANO DI DERMATOLOGIA E VENEREOLOGIA</t>
  </si>
  <si>
    <t>GLAND SURG</t>
  </si>
  <si>
    <t>Gland Surgery</t>
  </si>
  <si>
    <t>GLOBAL HEALTH ACTION</t>
  </si>
  <si>
    <t>Global Health Action</t>
  </si>
  <si>
    <t>GLOBALIZATION HEALTH</t>
  </si>
  <si>
    <t>Globalization and Health</t>
  </si>
  <si>
    <t>GLOBALIZATIONS</t>
  </si>
  <si>
    <t>Globalizations</t>
  </si>
  <si>
    <t>GLOB CHALL</t>
  </si>
  <si>
    <t>GLOBAL CHALLENGES</t>
  </si>
  <si>
    <t>GLOB HEALTH PROMOT</t>
  </si>
  <si>
    <t>Global Health Promotion</t>
  </si>
  <si>
    <t>GLOB HEALTH-SCI PRAC</t>
  </si>
  <si>
    <t>Global Health-Science and Practice</t>
  </si>
  <si>
    <t>GLOB HEART</t>
  </si>
  <si>
    <t>Global Heart</t>
  </si>
  <si>
    <t>GLOB MENT HEALTH</t>
  </si>
  <si>
    <t>Global Mental Health</t>
  </si>
  <si>
    <t>GLOB PUBLIC HEALTH</t>
  </si>
  <si>
    <t>Global Public Health</t>
  </si>
  <si>
    <t>GLOB SPINE J</t>
  </si>
  <si>
    <t>Global Spine Journal</t>
  </si>
  <si>
    <t>GM CROPS FOOD</t>
  </si>
  <si>
    <t>GM Crops &amp; Food-Biotechnology in Agriculture and the Food Chain</t>
  </si>
  <si>
    <t>GREEN CHEM LETT REV</t>
  </si>
  <si>
    <t>Green Chemistry Letters and Reviews</t>
  </si>
  <si>
    <t>GREEN PROCESS SYNTH</t>
  </si>
  <si>
    <t>Green Processing and Synthesis</t>
  </si>
  <si>
    <t>GUT MICROBES</t>
  </si>
  <si>
    <t>Gut Microbes</t>
  </si>
  <si>
    <t>GUT PATHOG</t>
  </si>
  <si>
    <t>Gut Pathogens</t>
  </si>
  <si>
    <t>GYNECOL OBST FERT SE</t>
  </si>
  <si>
    <t>Gynecologie Obstetrique Fertilite &amp; Senologie</t>
  </si>
  <si>
    <t>HAEMATOLOGICA</t>
  </si>
  <si>
    <t>HAMOSTASEOLOGIE</t>
  </si>
  <si>
    <t>Hamostaseologie</t>
  </si>
  <si>
    <t>HAND SURG REHABIL</t>
  </si>
  <si>
    <t>Hand Surgery &amp; Rehabilitation</t>
  </si>
  <si>
    <t>HARM REDUCT J</t>
  </si>
  <si>
    <t>Harm Reduction Journal</t>
  </si>
  <si>
    <t>HEAD FACE MED</t>
  </si>
  <si>
    <t>Head &amp; Face Medicine</t>
  </si>
  <si>
    <t>HEALTHCARE-BASEL</t>
  </si>
  <si>
    <t>Healthcare</t>
  </si>
  <si>
    <t>HEALTHCARE-J DEL SCI</t>
  </si>
  <si>
    <t>HealthCare-The Journal of Delivery Science and Innovation</t>
  </si>
  <si>
    <t>HEALTH CARE MANAG SC</t>
  </si>
  <si>
    <t>Health Care Management Science</t>
  </si>
  <si>
    <t>HEALTH CARE WOMEN IN</t>
  </si>
  <si>
    <t>Health Care for Women International</t>
  </si>
  <si>
    <t>HEALTH ECON POLICY L</t>
  </si>
  <si>
    <t>Health Economics Policy and Law</t>
  </si>
  <si>
    <t>HEALTH ECON REV</t>
  </si>
  <si>
    <t>Health Economics Review</t>
  </si>
  <si>
    <t>HEALTH EDUC J</t>
  </si>
  <si>
    <t>HEALTH EDUCATION JOURNAL</t>
  </si>
  <si>
    <t>HEALTH HUM RIGHTS</t>
  </si>
  <si>
    <t>Health and Human Rights</t>
  </si>
  <si>
    <t>HEALTH INFORM J</t>
  </si>
  <si>
    <t>Health Informatics Journal</t>
  </si>
  <si>
    <t>HEALTH-LONDON</t>
  </si>
  <si>
    <t>HEALTH POLICY TECHN</t>
  </si>
  <si>
    <t>Health Policy and Technology</t>
  </si>
  <si>
    <t>HEALTH PROMOT CHRON</t>
  </si>
  <si>
    <t>Health Promotion and Chronic Disease Prevention in Canada-Research Policy and Practice</t>
  </si>
  <si>
    <t>HEALTH PROMOT J AUST</t>
  </si>
  <si>
    <t>Health Promotion Journal of Australia</t>
  </si>
  <si>
    <t>HEALTH PSYCHOL REV</t>
  </si>
  <si>
    <t>Health Psychology Review</t>
  </si>
  <si>
    <t>HEALTH REP</t>
  </si>
  <si>
    <t>Health Reports</t>
  </si>
  <si>
    <t>HEALTH RES POLICY SY</t>
  </si>
  <si>
    <t>Health Research Policy and Systems</t>
  </si>
  <si>
    <t>HEALTH SECUR</t>
  </si>
  <si>
    <t>Health Security</t>
  </si>
  <si>
    <t>HEALTH SOCIOL REV</t>
  </si>
  <si>
    <t>Health Sociology Review</t>
  </si>
  <si>
    <t>HEALTH SYST REFORM</t>
  </si>
  <si>
    <t>Health Systems &amp; Reform</t>
  </si>
  <si>
    <t>HEART FAIL CLIN</t>
  </si>
  <si>
    <t>Heart Failure Clinics</t>
  </si>
  <si>
    <t>HEART LUNG CIRC</t>
  </si>
  <si>
    <t>Heart Lung and Circulation</t>
  </si>
  <si>
    <t>HEMATOL-AM SOC HEMAT</t>
  </si>
  <si>
    <t>Hematology-American Society of Hematology Education Program</t>
  </si>
  <si>
    <t>HEMODIAL INT</t>
  </si>
  <si>
    <t>Hemodialysis International</t>
  </si>
  <si>
    <t>HEPATOBIL SURG NUTR</t>
  </si>
  <si>
    <t>Hepatobiliary Surgery and Nutrition</t>
  </si>
  <si>
    <t>Hepatology communications</t>
  </si>
  <si>
    <t>HERD-HEALTH ENV RES</t>
  </si>
  <si>
    <t>HERD-Health Environments Research &amp; Design Journal</t>
  </si>
  <si>
    <t>HERIT SCI</t>
  </si>
  <si>
    <t>Heritage Science</t>
  </si>
  <si>
    <t>HERNIA</t>
  </si>
  <si>
    <t>Hernia</t>
  </si>
  <si>
    <t>HEROIN ADDICT REL CL</t>
  </si>
  <si>
    <t>Heroin Addiction and Related Clinical Problems</t>
  </si>
  <si>
    <t>HIGH ABIL STUD</t>
  </si>
  <si>
    <t>HIGH ABILITY STUDIES</t>
  </si>
  <si>
    <t>HIGH POWER LASER SCI</t>
  </si>
  <si>
    <t>High Power Laser Science and Engineering</t>
  </si>
  <si>
    <t>HIPPOKRATIA</t>
  </si>
  <si>
    <t>Hippokratia</t>
  </si>
  <si>
    <t>HIST GEO- SPACE SCI</t>
  </si>
  <si>
    <t>History of Geo- and Space Sciences</t>
  </si>
  <si>
    <t>HIST PSYCHOL</t>
  </si>
  <si>
    <t>History of Psychology</t>
  </si>
  <si>
    <t>HIST REC AUST SCI</t>
  </si>
  <si>
    <t>Historical Records of Australian Science</t>
  </si>
  <si>
    <t>HIST SOC RES</t>
  </si>
  <si>
    <t>Historical Social Research-Historische Sozialforschung</t>
  </si>
  <si>
    <t>HIST STUD NAT SCI</t>
  </si>
  <si>
    <t>Historical Studies in the Natural Sciences</t>
  </si>
  <si>
    <t>HIV RES CLIN PRACT</t>
  </si>
  <si>
    <t>HIV Research &amp; Clinical Practice</t>
  </si>
  <si>
    <t>HLA</t>
  </si>
  <si>
    <t>HOLIST NURS PRACT</t>
  </si>
  <si>
    <t>Holistic Nursing Practice</t>
  </si>
  <si>
    <t>HOMEOPATHY</t>
  </si>
  <si>
    <t>Homeopathy</t>
  </si>
  <si>
    <t>HONG KONG J DERMATOL</t>
  </si>
  <si>
    <t>Hong Kong Journal of Dermatology &amp; Venereology</t>
  </si>
  <si>
    <t>HONG KONG J EMERG ME</t>
  </si>
  <si>
    <t>Hong Kong Journal of Emergency Medicine</t>
  </si>
  <si>
    <t>HONG KONG J PAEDIATR</t>
  </si>
  <si>
    <t>Hong Kong Journal of Paediatrics</t>
  </si>
  <si>
    <t>HONG KONG MED J</t>
  </si>
  <si>
    <t>HONG KONG MEDICAL JOURNAL</t>
  </si>
  <si>
    <t>HORM CANCER-US</t>
  </si>
  <si>
    <t>Hormones &amp; Cancer</t>
  </si>
  <si>
    <t>HORM-INT J ENDOCRINO</t>
  </si>
  <si>
    <t>Hormones-International Journal of Endocrinology and Metabolism</t>
  </si>
  <si>
    <t>HORM RES PAEDIAT</t>
  </si>
  <si>
    <t>Hormone Research in Paediatrics</t>
  </si>
  <si>
    <t>HORTIC RES-ENGLAND</t>
  </si>
  <si>
    <t>Horticulture Research</t>
  </si>
  <si>
    <t>HPB</t>
  </si>
  <si>
    <t>HUM BIOL</t>
  </si>
  <si>
    <t>HUMAN BIOLOGY</t>
  </si>
  <si>
    <t>HUM FERTIL</t>
  </si>
  <si>
    <t>Human Fertility</t>
  </si>
  <si>
    <t>HUM GENE THER CL DEV</t>
  </si>
  <si>
    <t>Human Gene Therapy Clinical Development</t>
  </si>
  <si>
    <t>HUM GENE THER METHOD</t>
  </si>
  <si>
    <t>Human Gene Therapy Methods</t>
  </si>
  <si>
    <t>HUM GENOMICS</t>
  </si>
  <si>
    <t>Human Genomics</t>
  </si>
  <si>
    <t>HUM RESOUR DEV Q</t>
  </si>
  <si>
    <t>Human Resource Development Quarterly</t>
  </si>
  <si>
    <t>HUM RESOUR HEALTH</t>
  </si>
  <si>
    <t>Human Resources for Health</t>
  </si>
  <si>
    <t>HUM VACC IMMUNOTHER</t>
  </si>
  <si>
    <t>Human Vaccines &amp; Immunotherapeutics</t>
  </si>
  <si>
    <t>HYLE</t>
  </si>
  <si>
    <t>HYPATIA</t>
  </si>
  <si>
    <t>Hypatia-A Journal of Feminist Philosophy</t>
  </si>
  <si>
    <t>IDEGGYOGY SZEMLE</t>
  </si>
  <si>
    <t>Ideggyogyaszati Szemle-Clinical Neuroscience</t>
  </si>
  <si>
    <t>IEEE-ACM T AUDIO SPE</t>
  </si>
  <si>
    <t>IEEE-ACM Transactions on Audio Speech and Language Processing</t>
  </si>
  <si>
    <t>IEEE J BIOMED HEALTH</t>
  </si>
  <si>
    <t>IEEE Journal of Biomedical and Health Informatics</t>
  </si>
  <si>
    <t>IEEE J QUANTUM ELECT</t>
  </si>
  <si>
    <t>IEEE JOURNAL OF QUANTUM ELECTRONICS</t>
  </si>
  <si>
    <t>IEEE J TRANSL ENG HE</t>
  </si>
  <si>
    <t>IEEE Journal of Translational Engineering in Health and Medicine-JTEHM</t>
  </si>
  <si>
    <t>IEEE PHOTONICS J</t>
  </si>
  <si>
    <t>IEEE Photonics Journal</t>
  </si>
  <si>
    <t>IEEE PULSE</t>
  </si>
  <si>
    <t>IEEE Pulse</t>
  </si>
  <si>
    <t>IEEE T COGN DEV SYST</t>
  </si>
  <si>
    <t>IEEE Transactions on Cognitive and Developmental Systems</t>
  </si>
  <si>
    <t>IEEE TRANSACTIONS ON COMPUTER-AIDED DESIGN OF INTEGRATED CIRCUITS AND SYSTEMS</t>
  </si>
  <si>
    <t>IEEE T LEARN TECHNOL</t>
  </si>
  <si>
    <t>IEEE Transactions on Learning Technologies</t>
  </si>
  <si>
    <t>IEEE T THZ SCI TECHN</t>
  </si>
  <si>
    <t>IEEE Transactions on Terahertz Science and Technology</t>
  </si>
  <si>
    <t>IJST-T MECH ENG</t>
  </si>
  <si>
    <t>Iranian Journal of Science and Technology-Transactions of Mechanical Engineering</t>
  </si>
  <si>
    <t>IMA FUNGUS</t>
  </si>
  <si>
    <t>IMA Fungus</t>
  </si>
  <si>
    <t>IMAGO MUNDI</t>
  </si>
  <si>
    <t>Imago Mundi-The International Journal for the History of Cartography</t>
  </si>
  <si>
    <t>IMMUN AGEING</t>
  </si>
  <si>
    <t>Immunity &amp; Ageing</t>
  </si>
  <si>
    <t>IMMUNE NETW</t>
  </si>
  <si>
    <t>Immune Network</t>
  </si>
  <si>
    <t>Immunity, inflammation and disease</t>
  </si>
  <si>
    <t>IMMUNOTHERAPY-UK</t>
  </si>
  <si>
    <t>Immunotherapy</t>
  </si>
  <si>
    <t>IMPLANTOLOGIE</t>
  </si>
  <si>
    <t>Implantologie</t>
  </si>
  <si>
    <t>INDIAN J BIOTECHNOL</t>
  </si>
  <si>
    <t>INDIAN JOURNAL OF BIOTECHNOLOGY</t>
  </si>
  <si>
    <t>INDIAN J CANCER</t>
  </si>
  <si>
    <t>INDIAN JOURNAL OF CANCER</t>
  </si>
  <si>
    <t>INDIAN JOURNAL OF CHEMISTRY SECTION B-ORGANIC CHEMISTRY INCLUDING MEDICINAL CHEMISTRY</t>
  </si>
  <si>
    <t>INDIAN J DERMATOL</t>
  </si>
  <si>
    <t>INDIAN JOURNAL OF DERMATOLOGY</t>
  </si>
  <si>
    <t>INDIAN J HEMATOL BLO</t>
  </si>
  <si>
    <t>Indian Journal of Hematology and Blood Transfusion</t>
  </si>
  <si>
    <t>INDIAN J MED MICROBI</t>
  </si>
  <si>
    <t>Indian Journal of Medical Microbiology</t>
  </si>
  <si>
    <t>INDIAN J MICROBIOL</t>
  </si>
  <si>
    <t>INDIAN JOURNAL OF MICROBIOLOGY</t>
  </si>
  <si>
    <t>INDIAN J OPHTHALMOL</t>
  </si>
  <si>
    <t>INDIAN JOURNAL OF OPHTHALMOLOGY</t>
  </si>
  <si>
    <t>INDIAN J ORTHOP</t>
  </si>
  <si>
    <t>Indian Journal of Orthopaedics</t>
  </si>
  <si>
    <t>INDIAN J PATHOL MICR</t>
  </si>
  <si>
    <t>Indian Journal of Pathology and Microbiology</t>
  </si>
  <si>
    <t>INDIAN J PHARM SCI</t>
  </si>
  <si>
    <t>INDIAN JOURNAL OF PHARMACEUTICAL SCIENCES</t>
  </si>
  <si>
    <t>INDIAN J PSYCHIAT</t>
  </si>
  <si>
    <t>Indian Journal of Psychiatry</t>
  </si>
  <si>
    <t>INDIAN J SURG</t>
  </si>
  <si>
    <t>Indian Journal of Surgery</t>
  </si>
  <si>
    <t>INDOOR AIR</t>
  </si>
  <si>
    <t>IND ORGAN PSYCHOL-US</t>
  </si>
  <si>
    <t>Industrial and Organizational Psychology-Perspectives on Science and Practice</t>
  </si>
  <si>
    <t>INFANC APRENDIZ</t>
  </si>
  <si>
    <t>Infancia y Aprendizaje</t>
  </si>
  <si>
    <t>Infants &amp; Young Children</t>
  </si>
  <si>
    <t>INFECT AGENTS CANCER</t>
  </si>
  <si>
    <t>Infectious Agents and Cancer</t>
  </si>
  <si>
    <t>INFECT DIS-NOR</t>
  </si>
  <si>
    <t>Infectious Diseases</t>
  </si>
  <si>
    <t>INFECT DIS POVERTY</t>
  </si>
  <si>
    <t>Infectious Diseases of Poverty</t>
  </si>
  <si>
    <t>INFECT DIS THER</t>
  </si>
  <si>
    <t>Infectious Diseases and Therapy</t>
  </si>
  <si>
    <t>INFECT DRUG RESIST</t>
  </si>
  <si>
    <t>Infection and Drug Resistance</t>
  </si>
  <si>
    <t>INFLAMMOPHARMACOLOGY</t>
  </si>
  <si>
    <t>INFLAMM REGEN</t>
  </si>
  <si>
    <t>Inflammation and Regeneration</t>
  </si>
  <si>
    <t>INFORM CULT</t>
  </si>
  <si>
    <t>Information &amp; Culture</t>
  </si>
  <si>
    <t>INFORM DEV</t>
  </si>
  <si>
    <t>Information Development</t>
  </si>
  <si>
    <t>INFORM ORGAN-UK</t>
  </si>
  <si>
    <t>Information and Organization</t>
  </si>
  <si>
    <t>INFORM SOC-ESTUD</t>
  </si>
  <si>
    <t>Informacao &amp; Sociedade-Estudos</t>
  </si>
  <si>
    <t>INFORM TECHNOL DEV</t>
  </si>
  <si>
    <t>Information Technology for Development</t>
  </si>
  <si>
    <t>INFORM TECHNOL MANAG</t>
  </si>
  <si>
    <t>Information Technology &amp; Management</t>
  </si>
  <si>
    <t>INFORM TECHNOL PEOPL</t>
  </si>
  <si>
    <t>Information Technology &amp; People</t>
  </si>
  <si>
    <t>INF TARSAD</t>
  </si>
  <si>
    <t>Informacios Tarsadalom</t>
  </si>
  <si>
    <t>INNATE IMMUN-LONDON</t>
  </si>
  <si>
    <t>INRA PROD ANIM</t>
  </si>
  <si>
    <t>Inra Productions Animales</t>
  </si>
  <si>
    <t>INSIGHTS IMAGING</t>
  </si>
  <si>
    <t>Insights into Imaging</t>
  </si>
  <si>
    <t>INT BRAZ J UROL</t>
  </si>
  <si>
    <t>International Braz J Urol</t>
  </si>
  <si>
    <t>INT BREASTFEED J</t>
  </si>
  <si>
    <t>International Breastfeeding Journal</t>
  </si>
  <si>
    <t>INTEGR BIOL-UK</t>
  </si>
  <si>
    <t>Integrative Biology</t>
  </si>
  <si>
    <t>INTEGR ENVIRON ASSES</t>
  </si>
  <si>
    <t>Integrated Environmental Assessment and Management</t>
  </si>
  <si>
    <t>INTEGR MED RES</t>
  </si>
  <si>
    <t>Integrative Medicine Research</t>
  </si>
  <si>
    <t>INT EMERG NURS</t>
  </si>
  <si>
    <t>International Emergency Nursing</t>
  </si>
  <si>
    <t>INTENS CRIT CARE NUR</t>
  </si>
  <si>
    <t>Intensive and Critical Care Nursing</t>
  </si>
  <si>
    <t>INTERACT CARDIOV TH</t>
  </si>
  <si>
    <t>Interactive Cardiovascular and Thoracic Surgery</t>
  </si>
  <si>
    <t>INTERFACE FOCUS</t>
  </si>
  <si>
    <t>Interface Focus</t>
  </si>
  <si>
    <t>INTERNET INTERV</t>
  </si>
  <si>
    <t>Internet Interventions-The Application of Information Technology in Mental and Behavioural Health</t>
  </si>
  <si>
    <t>INT FEM J POLIT</t>
  </si>
  <si>
    <t>International Feminist Journal of Politics</t>
  </si>
  <si>
    <t>INT FORUM ALLERGY RH</t>
  </si>
  <si>
    <t>International Forum of Allergy &amp; Rhinology</t>
  </si>
  <si>
    <t>INT GAMBL STUD</t>
  </si>
  <si>
    <t>International Gambling Studies</t>
  </si>
  <si>
    <t>INT HEALTH</t>
  </si>
  <si>
    <t>International Health</t>
  </si>
  <si>
    <t>INT J ACOUST VIB</t>
  </si>
  <si>
    <t>International Journal of Acoustics and Vibration</t>
  </si>
  <si>
    <t>INT J AEROACOUST</t>
  </si>
  <si>
    <t>International Journal of Aeroacoustics</t>
  </si>
  <si>
    <t>INT J AEROSP PSYCHOL</t>
  </si>
  <si>
    <t>International Journal of AEROSPACE Psychology</t>
  </si>
  <si>
    <t>INT J ANAL CHEM</t>
  </si>
  <si>
    <t>International Journal of Analytical Chemistry</t>
  </si>
  <si>
    <t>INT J APPL RES VET M</t>
  </si>
  <si>
    <t>International Journal of Applied Research in Veterinary Medicine</t>
  </si>
  <si>
    <t>INT J ASTROBIOL</t>
  </si>
  <si>
    <t>International Journal of Astrobiology</t>
  </si>
  <si>
    <t>INT J BIOPRINTING</t>
  </si>
  <si>
    <t>International Journal of Bioprinting</t>
  </si>
  <si>
    <t>INT J BIOSTAT</t>
  </si>
  <si>
    <t>International Journal of Biostatistics</t>
  </si>
  <si>
    <t>INT J BIPOLAR DISORD</t>
  </si>
  <si>
    <t>International Journal of Bipolar Disorders</t>
  </si>
  <si>
    <t>INT J CHRONIC OBSTR</t>
  </si>
  <si>
    <t>International Journal of Chronic Obstructive Pulmonary Disease</t>
  </si>
  <si>
    <t>INT J CLIN PHARM-NET</t>
  </si>
  <si>
    <t>International Journal of Clinical Pharmacy</t>
  </si>
  <si>
    <t>INT J COGN THER</t>
  </si>
  <si>
    <t>International Journal of Cognitive Therapy</t>
  </si>
  <si>
    <t>INT J COMP-SUPP COLL</t>
  </si>
  <si>
    <t>International Journal of Computer-Supported Collaborative Learning</t>
  </si>
  <si>
    <t>INT J COMPUT ASS RAD</t>
  </si>
  <si>
    <t>International Journal of Computer Assisted Radiology and Surgery</t>
  </si>
  <si>
    <t>INT J COMPUT DENT</t>
  </si>
  <si>
    <t>International Journal of Computerized Dentistry</t>
  </si>
  <si>
    <t>INT J COMPUT INT SYS</t>
  </si>
  <si>
    <t>International Journal of Computational Intelligence Systems</t>
  </si>
  <si>
    <t>INT J COSMETIC SCI</t>
  </si>
  <si>
    <t>INTERNATIONAL JOURNAL OF COSMETIC SCIENCE</t>
  </si>
  <si>
    <t>INT J DENT HYG</t>
  </si>
  <si>
    <t>International Journal of Dental Hygiene</t>
  </si>
  <si>
    <t>INT J DES</t>
  </si>
  <si>
    <t>International Journal of Design</t>
  </si>
  <si>
    <t>INT J DEV DISABIL</t>
  </si>
  <si>
    <t>International Journal of Developmental Disabilities</t>
  </si>
  <si>
    <t>INT J DIABETES DEV C</t>
  </si>
  <si>
    <t>International Journal of Diabetes in Developing Countries</t>
  </si>
  <si>
    <t>INT J DISABIL DEV ED</t>
  </si>
  <si>
    <t>International Journal of Disability Development and Education</t>
  </si>
  <si>
    <t>INT J EDUC VOCAT GUI</t>
  </si>
  <si>
    <t>International Journal for Educational and Vocational Guidance</t>
  </si>
  <si>
    <t>INT J ENDOCRINOL</t>
  </si>
  <si>
    <t>International Journal of Endocrinology</t>
  </si>
  <si>
    <t>INT J ENG EDUC</t>
  </si>
  <si>
    <t>INTERNATIONAL JOURNAL OF ENGINEERING EDUCATION</t>
  </si>
  <si>
    <t>INT J ENV RES PUB HE</t>
  </si>
  <si>
    <t>International Journal of Environmental Research and Public Health</t>
  </si>
  <si>
    <t>INT J EQUITY HEALTH</t>
  </si>
  <si>
    <t>International Journal for Equity in Health</t>
  </si>
  <si>
    <t>INT J EVID-BASED HEA</t>
  </si>
  <si>
    <t>International Journal of Evidence-Based Healthcare</t>
  </si>
  <si>
    <t>INT J FEM APPROACHES</t>
  </si>
  <si>
    <t>International Journal of Feminist Approaches To Bioethics</t>
  </si>
  <si>
    <t>INT J FORENSIC MENT</t>
  </si>
  <si>
    <t>International Journal of Forensic Mental Health</t>
  </si>
  <si>
    <t>INT J GEN MED</t>
  </si>
  <si>
    <t>International Journal of General Medicine</t>
  </si>
  <si>
    <t>INT J GENOMICS</t>
  </si>
  <si>
    <t>International Journal of Genomics</t>
  </si>
  <si>
    <t>INT J HEALTH ECON MA</t>
  </si>
  <si>
    <t>International Journal of Health  Economics and Management</t>
  </si>
  <si>
    <t>INT J HEALTH GEOGR</t>
  </si>
  <si>
    <t>International Journal of Health Geographics</t>
  </si>
  <si>
    <t>INT J HEALTH POLICY</t>
  </si>
  <si>
    <t>International Journal of Health Policy and Management</t>
  </si>
  <si>
    <t>INT J HERIT STUD</t>
  </si>
  <si>
    <t>International Journal of Heritage Studies</t>
  </si>
  <si>
    <t>INT J HUM GENET</t>
  </si>
  <si>
    <t>INTERNATIONAL JOURNAL OF HUMAN GENETICS</t>
  </si>
  <si>
    <t>INT J HYPERTENS</t>
  </si>
  <si>
    <t>International Journal of Hypertension</t>
  </si>
  <si>
    <t>INT J IMPLANT DENT</t>
  </si>
  <si>
    <t>International Journal of Implant Dentistry</t>
  </si>
  <si>
    <t>INT J INJ CONTROL SA</t>
  </si>
  <si>
    <t>International Journal of Injury Control and Safety Promotion</t>
  </si>
  <si>
    <t>INT J INTEGR CARE</t>
  </si>
  <si>
    <t>International Journal of Integrated Care</t>
  </si>
  <si>
    <t>INT J INTERACT MULTI</t>
  </si>
  <si>
    <t>International Journal of Interactive Multimedia and Artificial Intelligence</t>
  </si>
  <si>
    <t>INT J LOW EXTR WOUND</t>
  </si>
  <si>
    <t>International Journal of Lower Extremity Wounds</t>
  </si>
  <si>
    <t>INT J MECH MATER DES</t>
  </si>
  <si>
    <t>International Journal of Mechanics and Materials in Design</t>
  </si>
  <si>
    <t>INT J MED SCI</t>
  </si>
  <si>
    <t>International Journal of Medical Sciences</t>
  </si>
  <si>
    <t>INT J MENT HEALTH AD</t>
  </si>
  <si>
    <t>International Journal of Mental Health and Addiction</t>
  </si>
  <si>
    <t>INT J MENT HEALTH NU</t>
  </si>
  <si>
    <t>International Journal of Mental Health Nursing</t>
  </si>
  <si>
    <t>INT J MENT HEALTH PR</t>
  </si>
  <si>
    <t>International Journal of Mental Health Promotion</t>
  </si>
  <si>
    <t>INT J MENT HEALTH SY</t>
  </si>
  <si>
    <t>International Journal of Mental Health Systems</t>
  </si>
  <si>
    <t>INT J MORPHOL</t>
  </si>
  <si>
    <t>INTERNATIONAL JOURNAL OF MORPHOLOGY</t>
  </si>
  <si>
    <t>INT J NUMER METH BIO</t>
  </si>
  <si>
    <t>International Journal for Numerical Methods in Biomedical Engineering</t>
  </si>
  <si>
    <t>INT J NURS KNOWL</t>
  </si>
  <si>
    <t>International Journal of Nursing Knowledge</t>
  </si>
  <si>
    <t>INT J NURS PRACT</t>
  </si>
  <si>
    <t>International Journal of Nursing Practice</t>
  </si>
  <si>
    <t>INT J OCCUP MED ENV</t>
  </si>
  <si>
    <t>International Journal of Occupational Medicine and Environmental Health</t>
  </si>
  <si>
    <t>INT J OCCUP SAF ERGO</t>
  </si>
  <si>
    <t>International Journal of Occupational Safety and Ergonomics</t>
  </si>
  <si>
    <t>INT J OFFSHORE POLAR</t>
  </si>
  <si>
    <t>INTERNATIONAL JOURNAL OF OFFSHORE AND POLAR ENGINEERING</t>
  </si>
  <si>
    <t>INT J OLDER PEOPLE N</t>
  </si>
  <si>
    <t>International Journal of Older People Nursing</t>
  </si>
  <si>
    <t>INT J OPHTHALMOL-CHI</t>
  </si>
  <si>
    <t>International Journal of Ophthalmology</t>
  </si>
  <si>
    <t>INT J OPT</t>
  </si>
  <si>
    <t>International Journal of Optics</t>
  </si>
  <si>
    <t>INT J OPTOMECHATRONI</t>
  </si>
  <si>
    <t>International Journal of Optomechatronics</t>
  </si>
  <si>
    <t>INT J ORAL SCI</t>
  </si>
  <si>
    <t>International Journal of Oral Science</t>
  </si>
  <si>
    <t>INT J PALEOPATHOL</t>
  </si>
  <si>
    <t>International Journal of Paleopathology</t>
  </si>
  <si>
    <t>INT J PARASITOL-DRUG</t>
  </si>
  <si>
    <t>International Journal for Parasitology-Drugs and Drug Resistance</t>
  </si>
  <si>
    <t>INT J PARASITOL-PAR</t>
  </si>
  <si>
    <t>International Journal for Parasitology-Parasites and Wildlife</t>
  </si>
  <si>
    <t>INT J PEDIAT OTO CAS</t>
  </si>
  <si>
    <t>International Journal of Pediatric Otorhinolaryngology Case Reports</t>
  </si>
  <si>
    <t>INT J PERF ANAL SPOR</t>
  </si>
  <si>
    <t>International Journal of Performance Analysis in Sport</t>
  </si>
  <si>
    <t>INT J PHARMACOL</t>
  </si>
  <si>
    <t>International Journal of Pharmacology</t>
  </si>
  <si>
    <t>INT J PRECIS ENG MAN</t>
  </si>
  <si>
    <t>International Journal of Precision Engineering and Manufacturing</t>
  </si>
  <si>
    <t>INT J PR ENG MAN-GT</t>
  </si>
  <si>
    <t>International Journal of Precision Engineering and Manufacturing-Green Technology</t>
  </si>
  <si>
    <t>INT J PSYCHOL RELIG</t>
  </si>
  <si>
    <t>International Journal for the Psychology of Religion</t>
  </si>
  <si>
    <t>INT J PSYCHOL RES</t>
  </si>
  <si>
    <t>International Journal of Psychological Research</t>
  </si>
  <si>
    <t>INT J QUAL METH</t>
  </si>
  <si>
    <t>International Journal of Qualitative Methods</t>
  </si>
  <si>
    <t>INT J QUAL STUD HEAL</t>
  </si>
  <si>
    <t>International Journal of Qualitative Studies on Health and Well-Being</t>
  </si>
  <si>
    <t>INT J RADIAT RES</t>
  </si>
  <si>
    <t>International Journal of Radiation Research</t>
  </si>
  <si>
    <t>INT J RHEUM DIS</t>
  </si>
  <si>
    <t>International Journal of Rheumatic Diseases</t>
  </si>
  <si>
    <t>INT J SEX HEALTH</t>
  </si>
  <si>
    <t>International Journal of Sexual Health</t>
  </si>
  <si>
    <t>INT J SOC RES METHOD</t>
  </si>
  <si>
    <t>International Journal of Social Research Methodology</t>
  </si>
  <si>
    <t>INT J SPEECH-LANG PA</t>
  </si>
  <si>
    <t>International Journal of Speech-Language Pathology</t>
  </si>
  <si>
    <t>INT J SPORT EXERC PS</t>
  </si>
  <si>
    <t>International Journal of Sport and Exercise Psychology</t>
  </si>
  <si>
    <t>INT J SPORT PHYSIOL</t>
  </si>
  <si>
    <t>International Journal of Sports Physiology and Performance</t>
  </si>
  <si>
    <t>INT J SPORTS SCI COA</t>
  </si>
  <si>
    <t>International Journal of Sports Science &amp; Coaching</t>
  </si>
  <si>
    <t>INT J SPRAY COMBUST</t>
  </si>
  <si>
    <t>International Journal of Spray and Combustion Dynamics</t>
  </si>
  <si>
    <t>INT J STEM CELLS</t>
  </si>
  <si>
    <t>International Journal of Stem Cells</t>
  </si>
  <si>
    <t>INT J STEM EDUC</t>
  </si>
  <si>
    <t>International Journal of STEM Education</t>
  </si>
  <si>
    <t>INT J STRESS MANAGE</t>
  </si>
  <si>
    <t>INTERNATIONAL JOURNAL OF STRESS MANAGEMENT</t>
  </si>
  <si>
    <t>INT J SURF SCI ENG</t>
  </si>
  <si>
    <t>International Journal of Surface Science and Engineering</t>
  </si>
  <si>
    <t>INT J SURG</t>
  </si>
  <si>
    <t>International Journal of Surgery</t>
  </si>
  <si>
    <t>INT J TRANSGENDERISM</t>
  </si>
  <si>
    <t>International Journal of Transgenderism</t>
  </si>
  <si>
    <t>INT J WOMENS HEALTH</t>
  </si>
  <si>
    <t>International Journal of Womens Health</t>
  </si>
  <si>
    <t>INT NEUROUROL J</t>
  </si>
  <si>
    <t>International Neurourology Journal</t>
  </si>
  <si>
    <t>INT OPHTHALMOL</t>
  </si>
  <si>
    <t>INTERNATIONAL OPHTHALMOLOGY</t>
  </si>
  <si>
    <t>INT PERSPECT SEX R H</t>
  </si>
  <si>
    <t>International Perspectives on Sexual and Reproductive Health</t>
  </si>
  <si>
    <t>INT REV CEL MOL BIO</t>
  </si>
  <si>
    <t>International Review of Cell and Molecular Biology</t>
  </si>
  <si>
    <t>International Review of Neurobiology</t>
  </si>
  <si>
    <t>INT REV RES DEV DISA</t>
  </si>
  <si>
    <t>International Review of Research in Developmental Disabilities</t>
  </si>
  <si>
    <t>INT REV SOC PSYCHOL</t>
  </si>
  <si>
    <t>International Review of Social Psychology</t>
  </si>
  <si>
    <t>INT REV SPORT EXER P</t>
  </si>
  <si>
    <t>International Review of Sport and Exercise Psychology</t>
  </si>
  <si>
    <t>INT WOUND J</t>
  </si>
  <si>
    <t>International Wound Journal</t>
  </si>
  <si>
    <t>INVEST CLIN</t>
  </si>
  <si>
    <t>INVESTIGACION CLINICA</t>
  </si>
  <si>
    <t>INVESTIG BIBLIOTECOL</t>
  </si>
  <si>
    <t>Investigacion Bibliotecologica</t>
  </si>
  <si>
    <t>INVESTIG CLIN UROL</t>
  </si>
  <si>
    <t>Investigative and Clinical Urology</t>
  </si>
  <si>
    <t>I-PERCEPTION</t>
  </si>
  <si>
    <t>I-Perception</t>
  </si>
  <si>
    <t>IRAN J BASIC MED SCI</t>
  </si>
  <si>
    <t>Iranian Journal of Basic Medical Sciences</t>
  </si>
  <si>
    <t>IRAN J BIOTECHNOL</t>
  </si>
  <si>
    <t>Iranian Journal of Biotechnology</t>
  </si>
  <si>
    <t>IRANIAN JOURNAL OF CHEMISTRY &amp; CHEMICAL ENGINEERING-INTERNATIONAL ENGLISH EDITION</t>
  </si>
  <si>
    <t>IRAN J IMMUNOL</t>
  </si>
  <si>
    <t>Iranian Journal of Immunology</t>
  </si>
  <si>
    <t>IRAN J KIDNEY DIS</t>
  </si>
  <si>
    <t>Iranian Journal of Kidney Diseases</t>
  </si>
  <si>
    <t>IRAN J PARASITOL</t>
  </si>
  <si>
    <t>Iranian Journal of Parasitology</t>
  </si>
  <si>
    <t>IRAN J RADIOL</t>
  </si>
  <si>
    <t>Iranian Journal of Radiology</t>
  </si>
  <si>
    <t>IRAN J SCI TECHNOL A</t>
  </si>
  <si>
    <t>Iranian Journal of Science and Technology Transaction A-Science</t>
  </si>
  <si>
    <t>IRAN J VET RES</t>
  </si>
  <si>
    <t>Iranian Journal of Veterinary Research</t>
  </si>
  <si>
    <t>IRBM</t>
  </si>
  <si>
    <t>ISCIENCE</t>
  </si>
  <si>
    <t>iScience</t>
  </si>
  <si>
    <t>ISI BILIM TEK DERG</t>
  </si>
  <si>
    <t>ISI Bilimi ve Teknigi Dergisi-Journal of Thermal Science and Technology</t>
  </si>
  <si>
    <t>ISJ-INVERT SURVIV J</t>
  </si>
  <si>
    <t>ISJ-Invertebrate Survival Journal</t>
  </si>
  <si>
    <t>ISLETS</t>
  </si>
  <si>
    <t>Islets</t>
  </si>
  <si>
    <t>ISL STUD J</t>
  </si>
  <si>
    <t>Island Studies Journal</t>
  </si>
  <si>
    <t>ISME J</t>
  </si>
  <si>
    <t>ISME Journal</t>
  </si>
  <si>
    <t>ISR J HEALTH POLICY</t>
  </si>
  <si>
    <t>Israel Journal of Health Policy Research</t>
  </si>
  <si>
    <t>ISSUES MENT HEALTH N</t>
  </si>
  <si>
    <t>Issues in Mental Health Nursing</t>
  </si>
  <si>
    <t>ITAL J ANIM SCI</t>
  </si>
  <si>
    <t>Italian Journal of Animal Science</t>
  </si>
  <si>
    <t>ITAL J PEDIATR</t>
  </si>
  <si>
    <t>Italian Journal of Pediatrics</t>
  </si>
  <si>
    <t>IUCRJ</t>
  </si>
  <si>
    <t>IUCrJ</t>
  </si>
  <si>
    <t>JAAPA-J AM ACAD PHYS</t>
  </si>
  <si>
    <t>JAAPA-Journal of the American Academy of Physician Assistants</t>
  </si>
  <si>
    <t>J ACAD NUTR DIET</t>
  </si>
  <si>
    <t>Journal of the Academy of Nutrition and Dietetics</t>
  </si>
  <si>
    <t>JACC: Basic to Translational Science</t>
  </si>
  <si>
    <t>JACC-CARDIOONCOL</t>
  </si>
  <si>
    <t>JACC: CardioOncology</t>
  </si>
  <si>
    <t>JACC-CARDIOVASC IMAG</t>
  </si>
  <si>
    <t>JACC-Cardiovascular Imaging</t>
  </si>
  <si>
    <t>JACC-CARDIOVASC INTE</t>
  </si>
  <si>
    <t>JACC-Cardiovascular Interventions</t>
  </si>
  <si>
    <t>JACC: Clinical Electrophysiology</t>
  </si>
  <si>
    <t>JACC-HEART FAIL</t>
  </si>
  <si>
    <t>JACC-Heart Failure</t>
  </si>
  <si>
    <t>J ADOLESC YOUNG ADUL</t>
  </si>
  <si>
    <t>Journal of Adolescent and Young Adult Oncology</t>
  </si>
  <si>
    <t>J ADV MECH DES SYST</t>
  </si>
  <si>
    <t>Journal of Advanced Mechanical Design Systems and Manufacturing</t>
  </si>
  <si>
    <t>J ADV PROSTHODONT</t>
  </si>
  <si>
    <t>Journal of Advanced Prosthodontics</t>
  </si>
  <si>
    <t>J ADV RES</t>
  </si>
  <si>
    <t>Journal of Advanced Research</t>
  </si>
  <si>
    <t>J AGGRESS MALTREAT T</t>
  </si>
  <si>
    <t>Journal of Aggression Maltreatment &amp; Trauma</t>
  </si>
  <si>
    <t>J AGROMEDICINE</t>
  </si>
  <si>
    <t>Journal of Agromedicine</t>
  </si>
  <si>
    <t>J ALLER CL IMM-PRACT</t>
  </si>
  <si>
    <t>Journal of Allergy and Clinical Immunology-In Practice</t>
  </si>
  <si>
    <t>JAMA CARDIOL</t>
  </si>
  <si>
    <t>JAMA Cardiology</t>
  </si>
  <si>
    <t>JAMA DERMATOL</t>
  </si>
  <si>
    <t>JAMA Dermatology</t>
  </si>
  <si>
    <t>JAMA FACIAL PLAST SU</t>
  </si>
  <si>
    <t>JAMA Facial Plastic Surgery</t>
  </si>
  <si>
    <t>JAMA INTERN MED</t>
  </si>
  <si>
    <t>JAMA Internal Medicine</t>
  </si>
  <si>
    <t>JAMA NETW OPEN</t>
  </si>
  <si>
    <t>JAMA Network Open</t>
  </si>
  <si>
    <t>JAMA NEUROL</t>
  </si>
  <si>
    <t>JAMA Neurology</t>
  </si>
  <si>
    <t>JAMA ONCOL</t>
  </si>
  <si>
    <t>JAMA Oncology</t>
  </si>
  <si>
    <t>JAMA OPHTHALMOL</t>
  </si>
  <si>
    <t>JAMA Ophthalmology</t>
  </si>
  <si>
    <t>JAMA OTOLARYNGOL</t>
  </si>
  <si>
    <t>JAMA Otolaryngology-Head &amp; Neck Surgery</t>
  </si>
  <si>
    <t>JAMA PEDIATR</t>
  </si>
  <si>
    <t>JAMA Pediatrics</t>
  </si>
  <si>
    <t>JAMA PSYCHIAT</t>
  </si>
  <si>
    <t>JAMA Psychiatry</t>
  </si>
  <si>
    <t>J AM ASSOC NURSE PRA</t>
  </si>
  <si>
    <t>Journal of the American Association of Nurse Practitioners</t>
  </si>
  <si>
    <t>JAMA SURG</t>
  </si>
  <si>
    <t>JAMA Surgery</t>
  </si>
  <si>
    <t>J AM COLL RADIOL</t>
  </si>
  <si>
    <t>Journal of the American College of Radiology</t>
  </si>
  <si>
    <t>J AM HEART ASSOC</t>
  </si>
  <si>
    <t>Journal of the American Heart Association</t>
  </si>
  <si>
    <t>J AM PSYCHIAT NURSES</t>
  </si>
  <si>
    <t>Journal of the American Psychiatric Nurses Association</t>
  </si>
  <si>
    <t>J ANAL METHODS CHEM</t>
  </si>
  <si>
    <t>Journal of Analytical Methods in Chemistry</t>
  </si>
  <si>
    <t>J ANAL SCI TECHNOL</t>
  </si>
  <si>
    <t>Journal of Analytical Science and Technology</t>
  </si>
  <si>
    <t>J ANAT SOC INDIA</t>
  </si>
  <si>
    <t>Journal of the Anatomical Society of India</t>
  </si>
  <si>
    <t>J ANIM PLANT SCI-PAK</t>
  </si>
  <si>
    <t>Journal of Animal and Plant Sciences-JAPS</t>
  </si>
  <si>
    <t>J ANIM SCI TECHNOL</t>
  </si>
  <si>
    <t>JOURNAL OF ANIMAL SCIENCE AND TECHNOLOGY</t>
  </si>
  <si>
    <t>Japanese dental science review</t>
  </si>
  <si>
    <t>J APPL BEHAV SCI</t>
  </si>
  <si>
    <t>JOURNAL OF APPLIED BEHAVIORAL SCIENCE</t>
  </si>
  <si>
    <t>J APPL BIOMATER FUNC</t>
  </si>
  <si>
    <t>Journal of Applied Biomaterials &amp; Functional Materials</t>
  </si>
  <si>
    <t>J APPL BIOMED</t>
  </si>
  <si>
    <t>Journal of Applied Biomedicine</t>
  </si>
  <si>
    <t>J APPL CRYSTALLOGR</t>
  </si>
  <si>
    <t>JOURNAL OF APPLIED CRYSTALLOGRAPHY</t>
  </si>
  <si>
    <t>J APPL RES MEM COGN</t>
  </si>
  <si>
    <t>Journal of Applied Research in Memory and Cognition</t>
  </si>
  <si>
    <t>J ARTHROPOD-BORNE DI</t>
  </si>
  <si>
    <t>Journal of Arthropod-Borne Diseases</t>
  </si>
  <si>
    <t>J ASSOC INF SCI TECH</t>
  </si>
  <si>
    <t>Journal of the Association for Information Science and Technology</t>
  </si>
  <si>
    <t>J ASSOC INF SYST</t>
  </si>
  <si>
    <t>Journal of the Association for Information Systems</t>
  </si>
  <si>
    <t>J ASTHMA ALLERGY</t>
  </si>
  <si>
    <t>Journal of Asthma and Allergy</t>
  </si>
  <si>
    <t>J ASTRON TELESC INST</t>
  </si>
  <si>
    <t>Journal of Astronomical Telescopes Instruments and Systems</t>
  </si>
  <si>
    <t>J ATTEN DISORD</t>
  </si>
  <si>
    <t>Journal of Attention Disorders</t>
  </si>
  <si>
    <t>J AUST LIB INF ASSOC</t>
  </si>
  <si>
    <t>Journal of the Australian Library and Information Association</t>
  </si>
  <si>
    <t>J BEHAV ADDICT</t>
  </si>
  <si>
    <t>Journal of Behavioral Addictions</t>
  </si>
  <si>
    <t>J BELG SOC RADIOL</t>
  </si>
  <si>
    <t>Journal of the Belgian Society of Radiology</t>
  </si>
  <si>
    <t>J BIOL ENG</t>
  </si>
  <si>
    <t>Journal of Biological Engineering</t>
  </si>
  <si>
    <t>J BONE ONCOL</t>
  </si>
  <si>
    <t>Journal of Bone Oncology</t>
  </si>
  <si>
    <t>J BRAS PNEUMOL</t>
  </si>
  <si>
    <t>Jornal Brasileiro de Pneumologia</t>
  </si>
  <si>
    <t>J BRAZ SOC MECH SCI</t>
  </si>
  <si>
    <t>Journal of the Brazilian Society of Mechanical Sciences and Engineering</t>
  </si>
  <si>
    <t>J BREAST CANCER</t>
  </si>
  <si>
    <t>J BREATH RES</t>
  </si>
  <si>
    <t>Journal of Breath Research</t>
  </si>
  <si>
    <t>J CACHEXIA SARCOPENI</t>
  </si>
  <si>
    <t>Journal of Cachexia Sarcopenia and Muscle</t>
  </si>
  <si>
    <t>J CANCER</t>
  </si>
  <si>
    <t>Journal of Cancer</t>
  </si>
  <si>
    <t>J CANCER RES THER</t>
  </si>
  <si>
    <t>Journal of Cancer Research and Therapeutics</t>
  </si>
  <si>
    <t>J CANCER SURVIV</t>
  </si>
  <si>
    <t>Journal of Cancer Survivorship</t>
  </si>
  <si>
    <t>J CARDIOL</t>
  </si>
  <si>
    <t>Journal of Cardiology</t>
  </si>
  <si>
    <t>J CARDIOVASC COMPUT</t>
  </si>
  <si>
    <t>Journal of Cardiovascular Computed Tomography</t>
  </si>
  <si>
    <t>J CARDIOVASC DEV DIS</t>
  </si>
  <si>
    <t>Journal of Cardiovascular Development and Disease</t>
  </si>
  <si>
    <t>J CARDIOVASC TRANSL</t>
  </si>
  <si>
    <t>Journal of Cardiovascular Translational Research</t>
  </si>
  <si>
    <t>J CELL COMMUN SIGNAL</t>
  </si>
  <si>
    <t>Journal of Cell Communication and Signaling</t>
  </si>
  <si>
    <t>J CHEMINFORMATICS</t>
  </si>
  <si>
    <t>Journal of Cheminformatics</t>
  </si>
  <si>
    <t>J CHEM-NY</t>
  </si>
  <si>
    <t>Journal of Chemistry</t>
  </si>
  <si>
    <t>J CHEM RES</t>
  </si>
  <si>
    <t>JOURNAL OF CHEMICAL RESEARCH</t>
  </si>
  <si>
    <t>J CHILD FAM STUD</t>
  </si>
  <si>
    <t>Journal of Child and Family Studies</t>
  </si>
  <si>
    <t>J CHILD HEALTH CARE</t>
  </si>
  <si>
    <t>Journal of Child Health Care</t>
  </si>
  <si>
    <t>J CHILD MEDIA</t>
  </si>
  <si>
    <t>Journal of Children and Media</t>
  </si>
  <si>
    <t>J CHILD ORTHOP</t>
  </si>
  <si>
    <t>Journal of Childrens Orthopaedics</t>
  </si>
  <si>
    <t>J CHILD SEX ABUS</t>
  </si>
  <si>
    <t>Journal of Child Sexual Abuse</t>
  </si>
  <si>
    <t>J CHIN MED ASSOC</t>
  </si>
  <si>
    <t>Journal of the Chinese Medical Association</t>
  </si>
  <si>
    <t>J CHIN SOC MECH ENG</t>
  </si>
  <si>
    <t>Journal of the Chinese Society of Mechanical Engineers</t>
  </si>
  <si>
    <t>JOURNAL OF CHROMATOGRAPHY B-ANALYTICAL TECHNOLOGIES IN THE BIOMEDICAL AND LIFE SCIENCES</t>
  </si>
  <si>
    <t>JCI INSIGHT</t>
  </si>
  <si>
    <t>JCI Insight</t>
  </si>
  <si>
    <t>J CLIN HYPERTENS</t>
  </si>
  <si>
    <t>Journal of Clinical Hypertension</t>
  </si>
  <si>
    <t>J CLIN MED</t>
  </si>
  <si>
    <t>Journal of Clinical Medicine</t>
  </si>
  <si>
    <t>J CLIN MONIT COMPUT</t>
  </si>
  <si>
    <t>JOURNAL OF CLINICAL MONITORING AND COMPUTING</t>
  </si>
  <si>
    <t>J CLIN PEDIATR DENT</t>
  </si>
  <si>
    <t>Journal of Clinical Pediatric Dentistry</t>
  </si>
  <si>
    <t>J CLIN RES PEDIATR E</t>
  </si>
  <si>
    <t>Journal of Clinical Research in Pediatric Endocrinology</t>
  </si>
  <si>
    <t>J CLIN SLEEP MED</t>
  </si>
  <si>
    <t>Journal of Clinical Sleep Medicine</t>
  </si>
  <si>
    <t>J CLIN SPORT PSYCHOL</t>
  </si>
  <si>
    <t>Journal of Clinical Sport Psychology</t>
  </si>
  <si>
    <t>J CLIN TRANSL HEPATO</t>
  </si>
  <si>
    <t>Journal of Clinical and Translational Hepatology</t>
  </si>
  <si>
    <t>J CO2 UTIL</t>
  </si>
  <si>
    <t>Journal of CO2 Utilization</t>
  </si>
  <si>
    <t>J COGN DEV</t>
  </si>
  <si>
    <t>Journal of Cognition and Development</t>
  </si>
  <si>
    <t>J COGN PSYCHOL</t>
  </si>
  <si>
    <t>Journal of Cognitive Psychology</t>
  </si>
  <si>
    <t>J COGN PSYCHOTHER</t>
  </si>
  <si>
    <t>Journal of Cognitive Psychotherapy</t>
  </si>
  <si>
    <t>J COMP EFFECT RES</t>
  </si>
  <si>
    <t>Journal of Comparative Effectiveness Research</t>
  </si>
  <si>
    <t>JOURNAL OF COMPARATIVE PHYSIOLOGY A-NEUROETHOLOGY SENSORY NEURAL AND BEHAVIORAL PHYSIOLOGY</t>
  </si>
  <si>
    <t>Journal of Comparative Physiology B-Biochemical Systems and Environmental Physiology</t>
  </si>
  <si>
    <t>J COMPUT DES ENG</t>
  </si>
  <si>
    <t>Journal of Computational Design and Engineering</t>
  </si>
  <si>
    <t>J COMPUT NONLIN DYN</t>
  </si>
  <si>
    <t>Journal of Computational and Nonlinear Dynamics</t>
  </si>
  <si>
    <t>J COMPUT SCI-NETH</t>
  </si>
  <si>
    <t>Journal of Computational Science</t>
  </si>
  <si>
    <t>J CONSUM CULT</t>
  </si>
  <si>
    <t>Journal of Consumer Culture</t>
  </si>
  <si>
    <t>J CONTEMP BRACHYTHER</t>
  </si>
  <si>
    <t>Journal of Contemporary Brachytherapy</t>
  </si>
  <si>
    <t>J CONTEXT BEHAV SCI</t>
  </si>
  <si>
    <t>Journal of Contextual Behavioral Science</t>
  </si>
  <si>
    <t>J CONTIN EDUC NURS</t>
  </si>
  <si>
    <t>JOURNAL OF CONTINUING EDUCATION IN NURSING</t>
  </si>
  <si>
    <t>JCO precision oncology</t>
  </si>
  <si>
    <t>J CORRECT HEALTH CAR</t>
  </si>
  <si>
    <t>Journal of Correctional Health Care</t>
  </si>
  <si>
    <t>J COSMET DERMATOL-US</t>
  </si>
  <si>
    <t>Journal of Cosmetic Dermatology</t>
  </si>
  <si>
    <t>J COSMET LASER THER</t>
  </si>
  <si>
    <t>Journal of Cosmetic and Laser Therapy</t>
  </si>
  <si>
    <t>J CYTOL</t>
  </si>
  <si>
    <t>Journal of Cytology</t>
  </si>
  <si>
    <t>J DEMOGR ECON</t>
  </si>
  <si>
    <t>Journal of Demographic Economics</t>
  </si>
  <si>
    <t>J DEV ORIG HLTH DIS</t>
  </si>
  <si>
    <t>Journal of Developmental Origins of Health and Disease</t>
  </si>
  <si>
    <t>J DIABETES</t>
  </si>
  <si>
    <t>Journal of Diabetes</t>
  </si>
  <si>
    <t>J DIABETES INVEST</t>
  </si>
  <si>
    <t>Journal of Diabetes Investigation</t>
  </si>
  <si>
    <t>J DIABETES RES</t>
  </si>
  <si>
    <t>Journal of Diabetes Research</t>
  </si>
  <si>
    <t>J DISABIL POLICY STU</t>
  </si>
  <si>
    <t>Journal of Disability Policy Studies</t>
  </si>
  <si>
    <t>J DIVERS HIGH EDUC</t>
  </si>
  <si>
    <t>Journal of Diversity in Higher Education</t>
  </si>
  <si>
    <t>J DRUGS DERMATOL</t>
  </si>
  <si>
    <t>Journal of Drugs in Dermatology</t>
  </si>
  <si>
    <t>J DTSCH DERMATOL GES</t>
  </si>
  <si>
    <t>JOURNAL DER DEUTSCHEN DERMATOLOGISCHEN GESELLSCHAFT</t>
  </si>
  <si>
    <t>J DUAL DIAGN</t>
  </si>
  <si>
    <t>Journal of Dual Diagnosis</t>
  </si>
  <si>
    <t>J EAST AFR STUD</t>
  </si>
  <si>
    <t>Journal of Eastern African Studies</t>
  </si>
  <si>
    <t>J EAST ASIAN STUD</t>
  </si>
  <si>
    <t>Journal of East Asian Studies</t>
  </si>
  <si>
    <t>J EAT DISORD</t>
  </si>
  <si>
    <t>Journal of Eating Disorders</t>
  </si>
  <si>
    <t>J ECON AGEING</t>
  </si>
  <si>
    <t>Journal of the Economics of Ageing</t>
  </si>
  <si>
    <t>J EDUC BEHAV STAT</t>
  </si>
  <si>
    <t>JOURNAL OF EDUCATIONAL AND BEHAVIORAL STATISTICS</t>
  </si>
  <si>
    <t>J ENG MECH</t>
  </si>
  <si>
    <t>JOURNAL OF ENGINEERING MECHANICS</t>
  </si>
  <si>
    <t>J ENG THERMOPHYS-RUS</t>
  </si>
  <si>
    <t>Journal of Engineering Thermophysics</t>
  </si>
  <si>
    <t>J ENTERP INF MANAG</t>
  </si>
  <si>
    <t>Journal of Enterprise Information Management</t>
  </si>
  <si>
    <t>JOURNAL OF ENVIRONMENTAL SCIENCE AND HEALTH PART B-PESTICIDES FOOD CONTAMINANTS AND AGRICULTURAL WASTES</t>
  </si>
  <si>
    <t>JOURNAL OF ENVIRONMENTAL SCIENCE AND HEALTH PART C-ENVIRONMENTAL CARCINOGENESIS &amp; ECOTOXICOLOGY REVIEWS</t>
  </si>
  <si>
    <t>J EPIDEMIOL GLOB HEA</t>
  </si>
  <si>
    <t>Journal of Epidemiology and Global Health</t>
  </si>
  <si>
    <t>J ETHNOBIOL</t>
  </si>
  <si>
    <t>JOURNAL OF ETHNOBIOLOGY</t>
  </si>
  <si>
    <t>J ETHNOBIOL ETHNOMED</t>
  </si>
  <si>
    <t>Journal of Ethnobiology and Ethnomedicine</t>
  </si>
  <si>
    <t>J ETHN SUBST ABUSE</t>
  </si>
  <si>
    <t>JOURNAL OF ETHNICITY IN SUBSTANCE ABUSE</t>
  </si>
  <si>
    <t>J EUR OPT SOC-RAPID</t>
  </si>
  <si>
    <t>Journal of the European Optical Society-Rapid Publications</t>
  </si>
  <si>
    <t>J EVID-BASED DENT PR</t>
  </si>
  <si>
    <t>Journal of Evidence-Based Dental Practice</t>
  </si>
  <si>
    <t>J EVID-BASED PSYCHOT</t>
  </si>
  <si>
    <t>Journal of Evidence-Based Psychotherapies</t>
  </si>
  <si>
    <t>J EXP PSYCHOL-ANIM L</t>
  </si>
  <si>
    <t>JOURNAL OF EXPERIMENTAL PSYCHOLOGY-ANIMAL LEARNING AND COGNITION</t>
  </si>
  <si>
    <t>J EXP PSYCHOPATHOL</t>
  </si>
  <si>
    <t>Journal of Experimental Psychopathology</t>
  </si>
  <si>
    <t>JOURNAL OF EXPERIMENTAL ZOOLOGY PART B-MOLECULAR AND DEVELOPMENTAL EVOLUTION</t>
  </si>
  <si>
    <t>J EXTRACELL VESICLES</t>
  </si>
  <si>
    <t>Journal of Extracellular Vesicles</t>
  </si>
  <si>
    <t>J EYE MOVEMENT RES</t>
  </si>
  <si>
    <t>Journal of Eye Movement Research</t>
  </si>
  <si>
    <t>J FLOW CHEM</t>
  </si>
  <si>
    <t>Journal of Flow Chemistry</t>
  </si>
  <si>
    <t>J FOOD SAF FOOD QUAL</t>
  </si>
  <si>
    <t>Journal of Food Safety and Food Quality-Archiv fur Lebensmittelhygiene</t>
  </si>
  <si>
    <t>J FOOT ANKLE RES</t>
  </si>
  <si>
    <t>Journal of Foot and Ankle Research</t>
  </si>
  <si>
    <t>J FOOT ANKLE SURG</t>
  </si>
  <si>
    <t>Journal of Foot &amp; Ankle Surgery</t>
  </si>
  <si>
    <t>J FOREN PSYCHOL RES</t>
  </si>
  <si>
    <t>Journal of Forensic Psychology Research and Practice</t>
  </si>
  <si>
    <t>J FORENSIC LEG MED</t>
  </si>
  <si>
    <t>Journal of Forensic and Legal Medicine</t>
  </si>
  <si>
    <t>J FORENSIC NURS</t>
  </si>
  <si>
    <t>Journal of Forensic Nursing</t>
  </si>
  <si>
    <t>J FRICT WEAR+</t>
  </si>
  <si>
    <t>Journal of Friction and Wear</t>
  </si>
  <si>
    <t>J FUNCT FOODS</t>
  </si>
  <si>
    <t>Journal of Functional Foods</t>
  </si>
  <si>
    <t>J FUNGI</t>
  </si>
  <si>
    <t>Journal of Fungi</t>
  </si>
  <si>
    <t>J GASTRIC CANCER</t>
  </si>
  <si>
    <t>Journal of Gastric Cancer</t>
  </si>
  <si>
    <t>J GASTROINTEST ONCOL</t>
  </si>
  <si>
    <t>Journal of Gastrointestinal Oncology</t>
  </si>
  <si>
    <t>J GENET COUNS</t>
  </si>
  <si>
    <t>Journal of Genetic Counseling</t>
  </si>
  <si>
    <t>J GERIATR CARDIOL</t>
  </si>
  <si>
    <t>Journal of Geriatric Cardiology</t>
  </si>
  <si>
    <t>J GERIATR ONCOL</t>
  </si>
  <si>
    <t>Journal of Geriatric Oncology</t>
  </si>
  <si>
    <t>J GERIATR PHYS THER</t>
  </si>
  <si>
    <t>Journal of Geriatric Physical Therapy</t>
  </si>
  <si>
    <t>J GINSENG RES</t>
  </si>
  <si>
    <t>Journal of Ginseng Research</t>
  </si>
  <si>
    <t>J GLOB ANTIMICROB RE</t>
  </si>
  <si>
    <t>Journal of Global Antimicrobial Resistance</t>
  </si>
  <si>
    <t>J GLOB HEALTH</t>
  </si>
  <si>
    <t>Journal of Global Health</t>
  </si>
  <si>
    <t>J GLOB INF TECH MAN</t>
  </si>
  <si>
    <t>Journal of Global Information Technology Management</t>
  </si>
  <si>
    <t>J GYNECOL OBSTET HUM</t>
  </si>
  <si>
    <t>Journal of Gynecology Obstetrics and Human Reproduction</t>
  </si>
  <si>
    <t>J GYNECOL ONCOL</t>
  </si>
  <si>
    <t>Journal of Gynecologic Oncology</t>
  </si>
  <si>
    <t>J HAPPINESS STUD</t>
  </si>
  <si>
    <t>Journal of Happiness Studies</t>
  </si>
  <si>
    <t>J HARD TISSUE BIOL</t>
  </si>
  <si>
    <t>Journal of Hard Tissue Biology</t>
  </si>
  <si>
    <t>J HEALTHC ENG</t>
  </si>
  <si>
    <t>Journal of Healthcare Engineering</t>
  </si>
  <si>
    <t>J HEALTHC QUAL</t>
  </si>
  <si>
    <t>Journal for Healthcare Quality</t>
  </si>
  <si>
    <t>J HEALTH ORGAN MANAG</t>
  </si>
  <si>
    <t>Journal of Health Organization and Management</t>
  </si>
  <si>
    <t>J HEALTH SERV RES PO</t>
  </si>
  <si>
    <t>Journal of Health Services Research &amp; Policy</t>
  </si>
  <si>
    <t>J HELL VET MED SOC</t>
  </si>
  <si>
    <t>Journal of the Hellenic Veterinary Medical Society</t>
  </si>
  <si>
    <t>J HEMATOP</t>
  </si>
  <si>
    <t>Journal of Hematopathology</t>
  </si>
  <si>
    <t>J HEPATO-BIL-PAN SCI</t>
  </si>
  <si>
    <t>Journal of Hepato-Biliary-Pancreatic Sciences</t>
  </si>
  <si>
    <t>J HEPATOCELL CARCINO</t>
  </si>
  <si>
    <t>Journal of Hepatocellular Carcinoma</t>
  </si>
  <si>
    <t>J HERB MED</t>
  </si>
  <si>
    <t>Journal of Herbal Medicine</t>
  </si>
  <si>
    <t>J HIP PRESERV SURG</t>
  </si>
  <si>
    <t>Journal of Hip Preservation Surgery</t>
  </si>
  <si>
    <t>J HOSP PALLIAT NURS</t>
  </si>
  <si>
    <t>Journal of Hospice &amp; Palliative Nursing</t>
  </si>
  <si>
    <t>J HYDRAUL ENG</t>
  </si>
  <si>
    <t>JOURNAL OF HYDRAULIC ENGINEERING</t>
  </si>
  <si>
    <t>J IMMIGR MINOR HEALT</t>
  </si>
  <si>
    <t>Journal of Immigrant and Minority Health</t>
  </si>
  <si>
    <t>J IMMIGR REFUG STUD</t>
  </si>
  <si>
    <t>Journal of Immigrant &amp; Refugee Studies</t>
  </si>
  <si>
    <t>J IMMUNOL RES</t>
  </si>
  <si>
    <t>Journal of Immunology Research</t>
  </si>
  <si>
    <t>J IMMUNOTHER CANCER</t>
  </si>
  <si>
    <t>Journal for ImmunoTherapy of Cancer</t>
  </si>
  <si>
    <t>J INDIAN I SCI</t>
  </si>
  <si>
    <t>JOURNAL OF THE INDIAN INSTITUTE OF SCIENCE</t>
  </si>
  <si>
    <t>J IND INF INTEGR</t>
  </si>
  <si>
    <t>Journal of Industrial Information Integration</t>
  </si>
  <si>
    <t>J INDIVID DIFFER</t>
  </si>
  <si>
    <t>Journal of Individual Differences</t>
  </si>
  <si>
    <t>J INFECT CHEMOTHER</t>
  </si>
  <si>
    <t>JOURNAL OF INFECTION AND CHEMOTHERAPY</t>
  </si>
  <si>
    <t>J INFECT DEV COUNTR</t>
  </si>
  <si>
    <t>Journal of Infection in Developing Countries</t>
  </si>
  <si>
    <t>J INFECT PUBLIC HEAL</t>
  </si>
  <si>
    <t>Journal of Infection and Public Health</t>
  </si>
  <si>
    <t>J INFLAMM-LOND</t>
  </si>
  <si>
    <t>Journal of Inflammation-London</t>
  </si>
  <si>
    <t>J INFLAMM RES</t>
  </si>
  <si>
    <t>Journal of Inflammation Research</t>
  </si>
  <si>
    <t>J INFORMETR</t>
  </si>
  <si>
    <t>Journal of Informetrics</t>
  </si>
  <si>
    <t>J INFRARED MILLIM TE</t>
  </si>
  <si>
    <t>Journal of Infrared Millimeter and Terahertz Waves</t>
  </si>
  <si>
    <t>J INFRARED MILLIM W</t>
  </si>
  <si>
    <t>JOURNAL OF INFRARED AND MILLIMETER WAVES</t>
  </si>
  <si>
    <t>J INF TECHNOL-UK</t>
  </si>
  <si>
    <t>J INNATE IMMUN</t>
  </si>
  <si>
    <t>Journal of Innate Immunity</t>
  </si>
  <si>
    <t>J INNOV OPT HEAL SCI</t>
  </si>
  <si>
    <t>Journal of Innovative Optical Health Sciences</t>
  </si>
  <si>
    <t>J INT ADV OTOL</t>
  </si>
  <si>
    <t>Journal of International Advanced Otology</t>
  </si>
  <si>
    <t>J INT AIDS SOC</t>
  </si>
  <si>
    <t>Journal of the International AIDS Society</t>
  </si>
  <si>
    <t>J INTEGR MED-JIM</t>
  </si>
  <si>
    <t>Journal of Integrative Medicine-JIM</t>
  </si>
  <si>
    <t>J INTELLECT DISABILI</t>
  </si>
  <si>
    <t>Journal of Intellectual Disabilities</t>
  </si>
  <si>
    <t>J INTENSIVE CARE</t>
  </si>
  <si>
    <t>Journal of Intensive Care</t>
  </si>
  <si>
    <t>J INTENSIVE CARE MED</t>
  </si>
  <si>
    <t>JOURNAL OF INTENSIVE CARE MEDICINE</t>
  </si>
  <si>
    <t>J INTERPROF CARE</t>
  </si>
  <si>
    <t>Journal of Interprofessional Care</t>
  </si>
  <si>
    <t>J INTERV CARDIOL</t>
  </si>
  <si>
    <t>JOURNAL OF INTERVENTIONAL CARDIOLOGY</t>
  </si>
  <si>
    <t>J INT SOC SPORT NUTR</t>
  </si>
  <si>
    <t>Journal of the International Society of Sports Nutrition</t>
  </si>
  <si>
    <t>J INVASIVE CARDIOL</t>
  </si>
  <si>
    <t>JOURNAL OF INVASIVE CARDIOLOGY</t>
  </si>
  <si>
    <t>J INVEST PSYCHOL OFF</t>
  </si>
  <si>
    <t>Journal of Investigative Psychology and Offender Profiling</t>
  </si>
  <si>
    <t>J KING SAUD UNIV SCI</t>
  </si>
  <si>
    <t>JOURNAL OF KING SAUD UNIVERSITY SCIENCE</t>
  </si>
  <si>
    <t>J KNEE SURG</t>
  </si>
  <si>
    <t>Journal of Knee Surgery</t>
  </si>
  <si>
    <t>J KNOWL MANAG</t>
  </si>
  <si>
    <t>Journal of Knowledge Management</t>
  </si>
  <si>
    <t>J KOREAN ACAD NURS</t>
  </si>
  <si>
    <t>Journal of Korean Academy of Nursing</t>
  </si>
  <si>
    <t>J LAB MED</t>
  </si>
  <si>
    <t>Journal of Laboratory Medicine</t>
  </si>
  <si>
    <t>J LASER MICRO NANOEN</t>
  </si>
  <si>
    <t>Journal of Laser Micro Nanoengineering</t>
  </si>
  <si>
    <t>J LATINX PSYCHOL</t>
  </si>
  <si>
    <t>Journal of Latinx Psychology</t>
  </si>
  <si>
    <t>J LAW BIOSCI</t>
  </si>
  <si>
    <t>Journal of Law and the Biosciences</t>
  </si>
  <si>
    <t>J LOW GENIT TRACT DI</t>
  </si>
  <si>
    <t>Journal of Lower Genital Tract Disease</t>
  </si>
  <si>
    <t>J MANAG CARE SPEC PH</t>
  </si>
  <si>
    <t>Journal of Managed Care &amp; Specialty Pharmacy</t>
  </si>
  <si>
    <t>J MANAGE</t>
  </si>
  <si>
    <t>JOURNAL OF MANAGEMENT</t>
  </si>
  <si>
    <t>J MANAGE PSYCHOL</t>
  </si>
  <si>
    <t>Journal of Managerial Psychology</t>
  </si>
  <si>
    <t>J MATH NEUROSCI</t>
  </si>
  <si>
    <t>Journal of Mathematical Neuroscience</t>
  </si>
  <si>
    <t>J MECH ROBOT</t>
  </si>
  <si>
    <t>Journal of Mechanisms and Robotics-Transactions of the ASME</t>
  </si>
  <si>
    <t>J MED BIOCHEM</t>
  </si>
  <si>
    <t>Journal of Medical Biochemistry</t>
  </si>
  <si>
    <t>J MED BIOL ENG</t>
  </si>
  <si>
    <t>Journal of Medical and Biological Engineering</t>
  </si>
  <si>
    <t>J MED DEVICES</t>
  </si>
  <si>
    <t>Journal of Medical Devices-Transactions of the ASME</t>
  </si>
  <si>
    <t>J MED ECON</t>
  </si>
  <si>
    <t>JOURNAL OF MEDICAL ECONOMICS</t>
  </si>
  <si>
    <t>J MEDIA PSYCHOL-GER</t>
  </si>
  <si>
    <t>Journal of Media Psychology-Theories Methods and Applications</t>
  </si>
  <si>
    <t>J MED TOXICOL</t>
  </si>
  <si>
    <t>Journal of Medical Toxicology</t>
  </si>
  <si>
    <t>J MENS HEALTH</t>
  </si>
  <si>
    <t>Journal of Mens Health</t>
  </si>
  <si>
    <t>J MENT HEALTH</t>
  </si>
  <si>
    <t>Journal of Mental Health</t>
  </si>
  <si>
    <t>J MENT HEALTH RES IN</t>
  </si>
  <si>
    <t>Journal of Mental Health Research in Intellectual Disabilities</t>
  </si>
  <si>
    <t>J MICROBIOL BIOTECHN</t>
  </si>
  <si>
    <t>JOURNAL OF MICROBIOLOGY AND BIOTECHNOLOGY</t>
  </si>
  <si>
    <t>J MICROBIOL IMMUNOL</t>
  </si>
  <si>
    <t>JOURNAL OF MICROBIOLOGY IMMUNOLOGY AND INFECTION</t>
  </si>
  <si>
    <t>JOURNAL OF MICROSCOPY</t>
  </si>
  <si>
    <t>J MIDDLE E WOMENS ST</t>
  </si>
  <si>
    <t>Journal of Middle East Womens Studies</t>
  </si>
  <si>
    <t>J MINIM ACCESS SURG</t>
  </si>
  <si>
    <t>Journal of Minimal Access Surgery</t>
  </si>
  <si>
    <t>JMIR MED INF</t>
  </si>
  <si>
    <t>JMIR Medical Informatics</t>
  </si>
  <si>
    <t>JMIR MENT HEALTH</t>
  </si>
  <si>
    <t>JMIR Mental Health</t>
  </si>
  <si>
    <t>JMIR MHEALTH UHEALTH</t>
  </si>
  <si>
    <t>JMIR mHealth and uHealth</t>
  </si>
  <si>
    <t>JMIR PUBLIC HLTH SUR</t>
  </si>
  <si>
    <t>JMIR Public Health and Surveillance</t>
  </si>
  <si>
    <t>JMIR SERIOUS GAMES</t>
  </si>
  <si>
    <t>JMIR Serious Games</t>
  </si>
  <si>
    <t>J MIX METHOD RES</t>
  </si>
  <si>
    <t>Journal of Mixed Methods Research</t>
  </si>
  <si>
    <t>J MOL CELL BIOL</t>
  </si>
  <si>
    <t>Journal of Molecular Cell Biology</t>
  </si>
  <si>
    <t>J MOL MED</t>
  </si>
  <si>
    <t>J MOV DISORD</t>
  </si>
  <si>
    <t>Journal of Movement Disorders</t>
  </si>
  <si>
    <t>J MULTIDISCIP HEALTH</t>
  </si>
  <si>
    <t>Journal of Multidisciplinary Healthcare</t>
  </si>
  <si>
    <t>J MUSCULOSKEL NEURON</t>
  </si>
  <si>
    <t>JOURNAL OF MUSCULOSKELETAL &amp; NEURONAL INTERACTIONS</t>
  </si>
  <si>
    <t>J NANOBIOTECHNOL</t>
  </si>
  <si>
    <t>JOURNAL OF NANOBIOTECHNOLOGY</t>
  </si>
  <si>
    <t>J NANOPHOTONICS</t>
  </si>
  <si>
    <t>Journal of Nanophotonics</t>
  </si>
  <si>
    <t>J NANOSTRUCTURE CHEM</t>
  </si>
  <si>
    <t>Journal of Nanostructure in Chemistry</t>
  </si>
  <si>
    <t>J NATL COMPR CANC NE</t>
  </si>
  <si>
    <t>Journal of the National Comprehensive Cancer Network</t>
  </si>
  <si>
    <t>J NATL SCI FOUND SRI</t>
  </si>
  <si>
    <t>JOURNAL OF THE NATIONAL SCIENCE FOUNDATION OF SRI LANKA</t>
  </si>
  <si>
    <t>JNCI-J NATL CANCER I</t>
  </si>
  <si>
    <t>JNCI-Journal of the National Cancer Institute</t>
  </si>
  <si>
    <t>J NEPAL MED ASSOC</t>
  </si>
  <si>
    <t>Journal of Nepal Medical Association</t>
  </si>
  <si>
    <t>J NEURODEV DISORD</t>
  </si>
  <si>
    <t>Journal of Neurodevelopmental Disorders</t>
  </si>
  <si>
    <t>J NEUROGASTROENTEROL</t>
  </si>
  <si>
    <t>Journal of Neurogastroenterology and Motility</t>
  </si>
  <si>
    <t>J NEUROINTERV SURG</t>
  </si>
  <si>
    <t>Journal of NeuroInterventional Surgery</t>
  </si>
  <si>
    <t>J NEUROL PHYS THER</t>
  </si>
  <si>
    <t>Journal of Neurologic Physical Therapy</t>
  </si>
  <si>
    <t>J NEUROL SURG PART A</t>
  </si>
  <si>
    <t>Journal of Neurological Surgery Part A-Central European Neurosurgery</t>
  </si>
  <si>
    <t>J NEUROL SURG PART B</t>
  </si>
  <si>
    <t>Journal of Neurological Surgery Part B-Skull Base</t>
  </si>
  <si>
    <t>J NEUROSCI NURS</t>
  </si>
  <si>
    <t>JOURNAL OF NEUROSCIENCE NURSING</t>
  </si>
  <si>
    <t>J NEUROSCI PSYCHOL E</t>
  </si>
  <si>
    <t>Journal of Neuroscience Psychology and Economics</t>
  </si>
  <si>
    <t>J NEUROSURG SCI</t>
  </si>
  <si>
    <t>Journal of Neurosurgical Sciences</t>
  </si>
  <si>
    <t>J NIPPON MED SCH</t>
  </si>
  <si>
    <t>JOURNAL OF NIPPON MEDICAL SCHOOL</t>
  </si>
  <si>
    <t>JNP-J NURSE PRACT</t>
  </si>
  <si>
    <t>JNP-Journal for Nurse Practitioners</t>
  </si>
  <si>
    <t>J NURS MANAGE</t>
  </si>
  <si>
    <t>Journal of Nursing Management</t>
  </si>
  <si>
    <t>J NURS RES</t>
  </si>
  <si>
    <t>Journal of Nursing Research</t>
  </si>
  <si>
    <t>J OBSESS-COMPULS REL</t>
  </si>
  <si>
    <t>Journal of Obsessive-Compulsive and Related Disorders</t>
  </si>
  <si>
    <t>J OCCUP MED TOXICOL</t>
  </si>
  <si>
    <t>Journal of Occupational Medicine and Toxicology</t>
  </si>
  <si>
    <t>JOURNAL OF OFFSHORE MECHANICS AND ARCTIC ENGINEERING-TRANSACTIONS OF THE ASME</t>
  </si>
  <si>
    <t>J OFF STAT</t>
  </si>
  <si>
    <t>Journal of Official Statistics</t>
  </si>
  <si>
    <t>J ONCOL</t>
  </si>
  <si>
    <t>Journal of Oncology</t>
  </si>
  <si>
    <t>J ONCOL PHARM PRACT</t>
  </si>
  <si>
    <t>JOURNAL OF ONCOLOGY PHARMACY PRACTICE</t>
  </si>
  <si>
    <t>J ONCOL PRACT</t>
  </si>
  <si>
    <t>Journal of Oncology Practice</t>
  </si>
  <si>
    <t>J OPHTHALMOL</t>
  </si>
  <si>
    <t>Journal of Ophthalmology</t>
  </si>
  <si>
    <t>J OPT COMMUN NETW</t>
  </si>
  <si>
    <t>Journal of Optical Communications and Networking</t>
  </si>
  <si>
    <t>J OPTICS-UK</t>
  </si>
  <si>
    <t>Journal of Optics</t>
  </si>
  <si>
    <t>J ORAL FACIAL PAIN H</t>
  </si>
  <si>
    <t>Journal of Oral &amp; Facial Pain and Headache</t>
  </si>
  <si>
    <t>J ORAL IMPLANTOL</t>
  </si>
  <si>
    <t>Journal of Oral Implantology</t>
  </si>
  <si>
    <t>J ORAL MICROBIOL</t>
  </si>
  <si>
    <t>Journal of Oral Microbiology</t>
  </si>
  <si>
    <t>J ORAL SCI</t>
  </si>
  <si>
    <t>Journal of Oral Science</t>
  </si>
  <si>
    <t>J ORGAN END USER COM</t>
  </si>
  <si>
    <t>Journal of Organizational and End User Computing</t>
  </si>
  <si>
    <t>J ORTHOP SURG-HONG K</t>
  </si>
  <si>
    <t>Journal of Orthopaedic Surgery</t>
  </si>
  <si>
    <t>J ORTHOP SURG RES</t>
  </si>
  <si>
    <t>Journal of Orthopaedic Surgery and Research</t>
  </si>
  <si>
    <t>J ORTHOP TRANSL</t>
  </si>
  <si>
    <t>Journal of Orthopaedic Translation</t>
  </si>
  <si>
    <t>J ORTHOP TRAUMATOL</t>
  </si>
  <si>
    <t>Journal of Orthopaedics and Traumatology</t>
  </si>
  <si>
    <t>J OVARIAN RES</t>
  </si>
  <si>
    <t>Journal of Ovarian Research</t>
  </si>
  <si>
    <t>JOVE-J VIS EXP</t>
  </si>
  <si>
    <t>Jove-Journal of Visualized Experiments</t>
  </si>
  <si>
    <t>J PAC RIM PSYCHOL</t>
  </si>
  <si>
    <t>Journal of Pacific Rim Psychology</t>
  </si>
  <si>
    <t>JPAD-J PREV ALZHEIM</t>
  </si>
  <si>
    <t>JPAD-Journal of Prevention of Alzheimers Disease</t>
  </si>
  <si>
    <t>J PAIN RES</t>
  </si>
  <si>
    <t>Journal of Pain Research</t>
  </si>
  <si>
    <t>J PAK MED ASSOC</t>
  </si>
  <si>
    <t>JOURNAL OF THE PAKISTAN MEDICAL ASSOCIATION</t>
  </si>
  <si>
    <t>J PARKINSON DIS</t>
  </si>
  <si>
    <t>Journal of Parkinsons Disease</t>
  </si>
  <si>
    <t>J PATIENT SAF</t>
  </si>
  <si>
    <t>Journal of Patient Safety</t>
  </si>
  <si>
    <t>J PEDIAT INF DIS-GER</t>
  </si>
  <si>
    <t>Journal of Pediatric Infectious Diseases</t>
  </si>
  <si>
    <t>J PEDIAT INF DIS SOC</t>
  </si>
  <si>
    <t>Journal of the Pediatric Infectious Diseases Society</t>
  </si>
  <si>
    <t>J PEDIATR HEALTH CAR</t>
  </si>
  <si>
    <t>Journal of Pediatric Health Care</t>
  </si>
  <si>
    <t>J PEDIATR NURS</t>
  </si>
  <si>
    <t>Journal of Pediatric Nursing-Nursing Care of Children &amp; Families</t>
  </si>
  <si>
    <t>J PEDIATR UROL</t>
  </si>
  <si>
    <t>Journal of Pediatric Urology</t>
  </si>
  <si>
    <t>J PERIANESTH NURS</t>
  </si>
  <si>
    <t>Journal of PeriAnesthesia Nursing</t>
  </si>
  <si>
    <t>J PERIODONTAL IMPLAN</t>
  </si>
  <si>
    <t>Journal of Periodontal and Implant Science</t>
  </si>
  <si>
    <t>J PERS MED</t>
  </si>
  <si>
    <t>Journal of Personalized Medicine</t>
  </si>
  <si>
    <t>J PERS PSYCHOL</t>
  </si>
  <si>
    <t>Journal of Personnel Psychology</t>
  </si>
  <si>
    <t>J PHARMACOL TOX MET</t>
  </si>
  <si>
    <t>JOURNAL OF PHARMACOLOGICAL AND TOXICOLOGICAL METHODS</t>
  </si>
  <si>
    <t>J PHARM ANAL</t>
  </si>
  <si>
    <t>Journal of Pharmaceutical Analysis</t>
  </si>
  <si>
    <t>J PHARM INNOV</t>
  </si>
  <si>
    <t>Journal of Pharmaceutical Innovation</t>
  </si>
  <si>
    <t>J PHOTON ENERGY</t>
  </si>
  <si>
    <t>Journal of Photonics for Energy</t>
  </si>
  <si>
    <t>J PHYS ACT HEALTH</t>
  </si>
  <si>
    <t>Journal of Physical Activity &amp; Health</t>
  </si>
  <si>
    <t>J PHYSIOL ANTHROPOL</t>
  </si>
  <si>
    <t>Journal of Physiological Anthropology</t>
  </si>
  <si>
    <t>J PHYSIOTHER</t>
  </si>
  <si>
    <t>Journal of Physiotherapy</t>
  </si>
  <si>
    <t>J PLAST SURG HAND SU</t>
  </si>
  <si>
    <t>Journal of Plastic Surgery and Hand Surgery</t>
  </si>
  <si>
    <t>JPN J RADIOL</t>
  </si>
  <si>
    <t>Japanese Journal of Radiology</t>
  </si>
  <si>
    <t>J POLICY PRACT INTEL</t>
  </si>
  <si>
    <t>Journal of Policy and Practice in Intellectual Disabilities</t>
  </si>
  <si>
    <t>J POSIT PSYCHOL</t>
  </si>
  <si>
    <t>Journal of Positive Psychology</t>
  </si>
  <si>
    <t>J POVERTY SOC JUSTIC</t>
  </si>
  <si>
    <t>Journal of Poverty and Social Justice</t>
  </si>
  <si>
    <t>J PRIM PREV</t>
  </si>
  <si>
    <t>Journal of Primary Prevention</t>
  </si>
  <si>
    <t>J PROSTHODONT</t>
  </si>
  <si>
    <t>Journal of Prosthodontics-Implant Esthetic and Reconstructive Dentistry</t>
  </si>
  <si>
    <t>J PROSTHODONT RES</t>
  </si>
  <si>
    <t>Journal of Prosthodontic Research</t>
  </si>
  <si>
    <t>J PROTEOMICS</t>
  </si>
  <si>
    <t>Journal of Proteomics</t>
  </si>
  <si>
    <t>J PSYCHIATR PRACT</t>
  </si>
  <si>
    <t>Journal of Psychiatric Practice</t>
  </si>
  <si>
    <t>J PSYCHOL AFR</t>
  </si>
  <si>
    <t>Journal of Psychology in Africa</t>
  </si>
  <si>
    <t>Journal of Psychosomatic Obstetrics &amp; Gynecology</t>
  </si>
  <si>
    <t>J QUANT SPECTROSC RA</t>
  </si>
  <si>
    <t>JOURNAL OF QUANTITATIVE SPECTROSCOPY &amp; RADIATIVE TRANSFER</t>
  </si>
  <si>
    <t>J RACIAL ETHN HEALTH</t>
  </si>
  <si>
    <t>Journal of Racial and Ethnic Health Disparities</t>
  </si>
  <si>
    <t>J RADIAT RES APPL SC</t>
  </si>
  <si>
    <t>Journal of Radiation Research and Applied Sciences</t>
  </si>
  <si>
    <t>J RATION-EMOT COGN-B</t>
  </si>
  <si>
    <t>Journal of Rational-Emotive and Cognitive-Behavior Therapy</t>
  </si>
  <si>
    <t>J REFUG STUD</t>
  </si>
  <si>
    <t>Journal of Refugee Studies</t>
  </si>
  <si>
    <t>J RENAL CARE</t>
  </si>
  <si>
    <t>Journal of Renal Care</t>
  </si>
  <si>
    <t>J RES MED SCI</t>
  </si>
  <si>
    <t>Journal of Research in Medical Sciences</t>
  </si>
  <si>
    <t>J RESPONSIBLE INNOV</t>
  </si>
  <si>
    <t>Journal of Responsible Innovation</t>
  </si>
  <si>
    <t>J ROY ARMY MED CORPS</t>
  </si>
  <si>
    <t>Journal of the Royal Army Medical Corps</t>
  </si>
  <si>
    <t>J S AFR VET ASSOC</t>
  </si>
  <si>
    <t>Journal of the South African Veterinary Association</t>
  </si>
  <si>
    <t>J SAUDI CHEM SOC</t>
  </si>
  <si>
    <t>Journal of Saudi Chemical Society</t>
  </si>
  <si>
    <t>J SCH NURS</t>
  </si>
  <si>
    <t>Journal of School Nursing</t>
  </si>
  <si>
    <t>J SCH VIOLENCE</t>
  </si>
  <si>
    <t>Journal of School Violence</t>
  </si>
  <si>
    <t>J SCI EDUC TECHNOL</t>
  </si>
  <si>
    <t>Journal of Science Education and Technology</t>
  </si>
  <si>
    <t>J SIMUL</t>
  </si>
  <si>
    <t>Journal of Simulation</t>
  </si>
  <si>
    <t>JSLS-J SOC LAPAROEND</t>
  </si>
  <si>
    <t>JSLS-Journal of the Society of Laparoendoscopic Surgeons</t>
  </si>
  <si>
    <t>J SOC ISSUES</t>
  </si>
  <si>
    <t>JOURNAL OF SOCIAL ISSUES</t>
  </si>
  <si>
    <t>J SPEC EDUC TECHNOL</t>
  </si>
  <si>
    <t>Journal of Special Education Technology</t>
  </si>
  <si>
    <t>J SPECTROSC</t>
  </si>
  <si>
    <t>Journal of Spectroscopy</t>
  </si>
  <si>
    <t>J SPORT HEALTH SCI</t>
  </si>
  <si>
    <t>Journal of Sport and Health Science</t>
  </si>
  <si>
    <t>J STOMATOL ORAL MAXI</t>
  </si>
  <si>
    <t>Journal of Stomatology Oral and Maxillofacial Surgery</t>
  </si>
  <si>
    <t>J STRATEGIC INF SYST</t>
  </si>
  <si>
    <t>JOURNAL OF STRATEGIC INFORMATION SYSTEMS</t>
  </si>
  <si>
    <t>J STROKE</t>
  </si>
  <si>
    <t>Journal of Stroke</t>
  </si>
  <si>
    <t>J STROKE CEREBROVASC</t>
  </si>
  <si>
    <t>Journal of Stroke &amp; Cerebrovascular Diseases</t>
  </si>
  <si>
    <t>J SUBST USE</t>
  </si>
  <si>
    <t>Journal of Substance Use</t>
  </si>
  <si>
    <t>J SULFUR CHEM</t>
  </si>
  <si>
    <t>Journal of Sulfur Chemistry</t>
  </si>
  <si>
    <t>J SURG EDUC</t>
  </si>
  <si>
    <t>Journal of Surgical Education</t>
  </si>
  <si>
    <t>J SURV STAT METHODOL</t>
  </si>
  <si>
    <t>Journal of Survey Statistics and Methodology</t>
  </si>
  <si>
    <t>J TAIBAH UNIV SCI</t>
  </si>
  <si>
    <t>Journal of Taibah University for Science</t>
  </si>
  <si>
    <t>J THEOR COMPUT ACOUS</t>
  </si>
  <si>
    <t>Journal of Theoretical and Computational Acoustics</t>
  </si>
  <si>
    <t>J THERM SCI</t>
  </si>
  <si>
    <t>Journal of Thermal Science</t>
  </si>
  <si>
    <t>J THERM SCI ENG APPL</t>
  </si>
  <si>
    <t>Journal of Thermal Science and Engineering Applications</t>
  </si>
  <si>
    <t>J THORAC DIS</t>
  </si>
  <si>
    <t>Journal of Thoracic Disease</t>
  </si>
  <si>
    <t>J TISSUE VIABILITY</t>
  </si>
  <si>
    <t>Journal of Tissue Viability</t>
  </si>
  <si>
    <t>J TOXICOL PATHOL</t>
  </si>
  <si>
    <t>Journal of Toxicologic Pathology</t>
  </si>
  <si>
    <t>J TOXICOL SCI</t>
  </si>
  <si>
    <t>JOURNAL OF TOXICOLOGICAL SCIENCES</t>
  </si>
  <si>
    <t>J TRADIT CHIN MED</t>
  </si>
  <si>
    <t>Journal of Traditional Chinese Medicine</t>
  </si>
  <si>
    <t>J TRANSL INTERN MED</t>
  </si>
  <si>
    <t>Journal of Translational Internal Medicine</t>
  </si>
  <si>
    <t>J TRANSP HEALTH</t>
  </si>
  <si>
    <t>Journal of Transport &amp; Health</t>
  </si>
  <si>
    <t>J TRAUMA ACUTE CARE</t>
  </si>
  <si>
    <t>Journal of Trauma and Acute Care Surgery</t>
  </si>
  <si>
    <t>J TRAUMA DISSOCIATIO</t>
  </si>
  <si>
    <t>Journal of Trauma &amp; Dissociation</t>
  </si>
  <si>
    <t>J TRAUMA NURS</t>
  </si>
  <si>
    <t>Journal of Trauma Nursing</t>
  </si>
  <si>
    <t>J TROP MED-US</t>
  </si>
  <si>
    <t>Journal of Tropical Medicine</t>
  </si>
  <si>
    <t>JUDGM DECIS MAK</t>
  </si>
  <si>
    <t>Judgment and Decision Making</t>
  </si>
  <si>
    <t>JUNDISHAPUR J MICROB</t>
  </si>
  <si>
    <t>Jundishapur Journal of Microbiology</t>
  </si>
  <si>
    <t>J VASC ACCESS</t>
  </si>
  <si>
    <t>Journal of Vascular Access</t>
  </si>
  <si>
    <t>J VASC SURG-VENOUS L</t>
  </si>
  <si>
    <t>Journal of Vascular Surgery-Venous and Lymphatic Disorders</t>
  </si>
  <si>
    <t>J VECTOR DIS</t>
  </si>
  <si>
    <t>JOURNAL OF VECTOR BORNE DISEASES</t>
  </si>
  <si>
    <t>J VET BEHAV</t>
  </si>
  <si>
    <t>Journal of Veterinary Behavior-Clinical Applications and Research</t>
  </si>
  <si>
    <t>J VET CARDIOL</t>
  </si>
  <si>
    <t>Journal of Veterinary Cardiology</t>
  </si>
  <si>
    <t>J VET RES</t>
  </si>
  <si>
    <t>Journal of Veterinary Research</t>
  </si>
  <si>
    <t>J VET SCI</t>
  </si>
  <si>
    <t>Journal of Veterinary Science</t>
  </si>
  <si>
    <t>J VIB ENG TECHNOL</t>
  </si>
  <si>
    <t>Journal of Vibration Engineering &amp; Technologies</t>
  </si>
  <si>
    <t>J VIRUS ERAD</t>
  </si>
  <si>
    <t>Journal of Virus Eradication</t>
  </si>
  <si>
    <t>J VISC SURG</t>
  </si>
  <si>
    <t>Journal of Visceral Surgery</t>
  </si>
  <si>
    <t>J VISUAL-JAPAN</t>
  </si>
  <si>
    <t>JOURNAL OF VISUALIZATION</t>
  </si>
  <si>
    <t>J WATER CHEM TECHNO+</t>
  </si>
  <si>
    <t>Journal of Water Chemistry and Technology</t>
  </si>
  <si>
    <t>J WOMENS HIST</t>
  </si>
  <si>
    <t>JOURNAL OF WOMENS HISTORY</t>
  </si>
  <si>
    <t>J WORK ORGAN PSYCHOL</t>
  </si>
  <si>
    <t>Journal of Work and Organizational Psychology-Revista de Psicologia del Trabajo y de las Organizaciones</t>
  </si>
  <si>
    <t>J WOUND CARE</t>
  </si>
  <si>
    <t>Journal of Wound Care</t>
  </si>
  <si>
    <t>J YOUTH STUD</t>
  </si>
  <si>
    <t>Journal of Youth Studies</t>
  </si>
  <si>
    <t>KAFKAS UNIV VET FAK</t>
  </si>
  <si>
    <t>Kafkas Universitesi Veteriner Fakultesi Dergisi</t>
  </si>
  <si>
    <t>KIDNEY DIS-BASEL</t>
  </si>
  <si>
    <t>Kidney Diseases</t>
  </si>
  <si>
    <t>KIDNEY INT REP</t>
  </si>
  <si>
    <t>Kidney International Reports</t>
  </si>
  <si>
    <t>KIDNEY INT SUPPL</t>
  </si>
  <si>
    <t>Kidney International Supplements</t>
  </si>
  <si>
    <t>KIDNEY RES CLIN PRAC</t>
  </si>
  <si>
    <t>Kidney Research and Clinical Practice</t>
  </si>
  <si>
    <t>KINESIOLOGY</t>
  </si>
  <si>
    <t>Kinesiology</t>
  </si>
  <si>
    <t>KNOWL MAN RES PRACT</t>
  </si>
  <si>
    <t>Knowledge Management Research &amp; Practice</t>
  </si>
  <si>
    <t>KOREAN CIRC J</t>
  </si>
  <si>
    <t>Korean Circulation Journal</t>
  </si>
  <si>
    <t>KOREAN J INTERN MED</t>
  </si>
  <si>
    <t>KOREAN JOURNAL OF INTERNAL MEDICINE</t>
  </si>
  <si>
    <t>KOREAN J ORTHOD</t>
  </si>
  <si>
    <t>Korean Journal of Orthodontics</t>
  </si>
  <si>
    <t>KOREAN J PAIN</t>
  </si>
  <si>
    <t>Korean Journal of Pain</t>
  </si>
  <si>
    <t>KOREAN J PARASITOL</t>
  </si>
  <si>
    <t>KOREAN JOURNAL OF PARASITOLOGY</t>
  </si>
  <si>
    <t>KOREAN J PHYSIOL PHA</t>
  </si>
  <si>
    <t>KOREAN JOURNAL OF PHYSIOLOGY &amp; PHARMACOLOGY</t>
  </si>
  <si>
    <t>KUWAIT J SCI</t>
  </si>
  <si>
    <t>Kuwait Journal of Science</t>
  </si>
  <si>
    <t>KUWAIT MED J</t>
  </si>
  <si>
    <t>Kuwait Medical Journal</t>
  </si>
  <si>
    <t>LAB MED</t>
  </si>
  <si>
    <t>LABORATORY MEDICINE</t>
  </si>
  <si>
    <t>LAEKNABLADID</t>
  </si>
  <si>
    <t>Laeknabladid</t>
  </si>
  <si>
    <t>LANCET CHILD ADOLESC</t>
  </si>
  <si>
    <t>Lancet Child &amp; Adolescent Health</t>
  </si>
  <si>
    <t>LANCET DIABETES ENDO</t>
  </si>
  <si>
    <t>Lancet Diabetes &amp; Endocrinology</t>
  </si>
  <si>
    <t>LANCET GASTROENTEROL</t>
  </si>
  <si>
    <t>Lancet Gastroenterology &amp; Hepatology</t>
  </si>
  <si>
    <t>LANCET GLOB HEALTH</t>
  </si>
  <si>
    <t>Lancet Global Health</t>
  </si>
  <si>
    <t>LANCET HAEMATOL</t>
  </si>
  <si>
    <t>Lancet Haematology</t>
  </si>
  <si>
    <t>LANCET HIV</t>
  </si>
  <si>
    <t>Lancet HIV</t>
  </si>
  <si>
    <t>LANCET PLANET HEALTH</t>
  </si>
  <si>
    <t>Lancet Planetary Health</t>
  </si>
  <si>
    <t>LANCET PSYCHIAT</t>
  </si>
  <si>
    <t>Lancet Psychiatry</t>
  </si>
  <si>
    <t>LANCET PUBLIC HEALTH</t>
  </si>
  <si>
    <t>Lancet Public Health</t>
  </si>
  <si>
    <t>LANCET RESP MED</t>
  </si>
  <si>
    <t>Lancet Respiratory Medicine</t>
  </si>
  <si>
    <t>LANCET RHEUMATOL</t>
  </si>
  <si>
    <t>Lancet Rheumatology</t>
  </si>
  <si>
    <t>LANG ASSESS Q</t>
  </si>
  <si>
    <t>Language Assessment Quarterly</t>
  </si>
  <si>
    <t>LANG COGN</t>
  </si>
  <si>
    <t>Language and Cognition</t>
  </si>
  <si>
    <t>LANG COGN NEUROSCI</t>
  </si>
  <si>
    <t>Language Cognition and Neuroscience</t>
  </si>
  <si>
    <t>LANG LEARN DEV</t>
  </si>
  <si>
    <t>Language Learning and Development</t>
  </si>
  <si>
    <t>LARYNGOSCOPE INVEST</t>
  </si>
  <si>
    <t>Laryngoscope Investigative Otolaryngology</t>
  </si>
  <si>
    <t>LASER PHOTONICS REV</t>
  </si>
  <si>
    <t>Laser &amp; Photonics Reviews</t>
  </si>
  <si>
    <t>LASER PHYS LETT</t>
  </si>
  <si>
    <t>LASER PHYSICS LETTERS</t>
  </si>
  <si>
    <t>LAT AM J SOLIDS STRU</t>
  </si>
  <si>
    <t>Latin American Journal of Solids and Structures</t>
  </si>
  <si>
    <t>LAW PROBAB RISK</t>
  </si>
  <si>
    <t>LAW PROBABILITY &amp; RISK</t>
  </si>
  <si>
    <t>LEARN DISABIL RES PR</t>
  </si>
  <si>
    <t>Learning Disabilities Research &amp; Practice</t>
  </si>
  <si>
    <t>LEGAL MED-TOKYO</t>
  </si>
  <si>
    <t>Legal Medicine</t>
  </si>
  <si>
    <t>LGBT HEALTH</t>
  </si>
  <si>
    <t>LGBT Health</t>
  </si>
  <si>
    <t>LIBR HI TECH</t>
  </si>
  <si>
    <t>LIBRARY HI TECH</t>
  </si>
  <si>
    <t>LIBRI-International Journal of Libraries and Information Studies</t>
  </si>
  <si>
    <t>LIBYAN J MED</t>
  </si>
  <si>
    <t>Libyan Journal of Medicine</t>
  </si>
  <si>
    <t>LIFE-BASEL</t>
  </si>
  <si>
    <t>Life-Basel</t>
  </si>
  <si>
    <t>LIFE SCI ALLIANCE</t>
  </si>
  <si>
    <t>Life Science Alliance</t>
  </si>
  <si>
    <t>LIFE SCI SPACE RES</t>
  </si>
  <si>
    <t>Life Sciences in Space Research</t>
  </si>
  <si>
    <t>LIFESTYLE GENOM</t>
  </si>
  <si>
    <t>Lifestyle Genomics</t>
  </si>
  <si>
    <t>LIGHT ENG</t>
  </si>
  <si>
    <t>Light &amp; Engineering</t>
  </si>
  <si>
    <t>LIGHTING RES TECHNOL</t>
  </si>
  <si>
    <t>Lighting Research &amp; Technology</t>
  </si>
  <si>
    <t>LIGHT-SCI APPL</t>
  </si>
  <si>
    <t>Light-Science &amp; Applications</t>
  </si>
  <si>
    <t>LIVER CANCER</t>
  </si>
  <si>
    <t>Liver Cancer</t>
  </si>
  <si>
    <t>LONGITUD LIFE COURSE</t>
  </si>
  <si>
    <t>Longitudinal and Life Course Studies</t>
  </si>
  <si>
    <t>LUBR SCI</t>
  </si>
  <si>
    <t>Lubrication Science</t>
  </si>
  <si>
    <t>LUPUS SCI MED</t>
  </si>
  <si>
    <t>Lupus Science &amp; Medicine</t>
  </si>
  <si>
    <t>LUTS</t>
  </si>
  <si>
    <t>LUTS-Lower Urinary Tract Symptoms</t>
  </si>
  <si>
    <t>LYMPHAT RES BIOL</t>
  </si>
  <si>
    <t>Lymphatic Research and Biology</t>
  </si>
  <si>
    <t>MABS-AUSTIN</t>
  </si>
  <si>
    <t>mAbs</t>
  </si>
  <si>
    <t>MACHINES</t>
  </si>
  <si>
    <t>Machines</t>
  </si>
  <si>
    <t>MACROHETEROCYCLES</t>
  </si>
  <si>
    <t>Macroheterocycles</t>
  </si>
  <si>
    <t>MAGN RESON IMAGING C</t>
  </si>
  <si>
    <t>Magnetic Resonance Imaging Clinics of North America</t>
  </si>
  <si>
    <t>MAGN RESON MED SCI</t>
  </si>
  <si>
    <t>Magnetic Resonance in Medical Sciences</t>
  </si>
  <si>
    <t>MALAWI MED J</t>
  </si>
  <si>
    <t>Malawi Medical Journal</t>
  </si>
  <si>
    <t>MALAYS J LIBR INF SC</t>
  </si>
  <si>
    <t>Malaysian Journal of Library &amp; Information Science</t>
  </si>
  <si>
    <t>MALAYS J PATHOL</t>
  </si>
  <si>
    <t>Malaysian Journal of Pathology</t>
  </si>
  <si>
    <t>MARKOV PROCESS RELAT</t>
  </si>
  <si>
    <t>Markov Processes and Related Fields</t>
  </si>
  <si>
    <t>MATER CHEM FRONT</t>
  </si>
  <si>
    <t>Materials Chemistry Frontiers</t>
  </si>
  <si>
    <t>MATER HORIZ</t>
  </si>
  <si>
    <t>Materials Horizons</t>
  </si>
  <si>
    <t>MATER TODAY BIO</t>
  </si>
  <si>
    <t>Materials Today Bio</t>
  </si>
  <si>
    <t>MATER TODAY CHEM</t>
  </si>
  <si>
    <t>Materials Today Chemistry</t>
  </si>
  <si>
    <t>MATH MODEL NAT PHENO</t>
  </si>
  <si>
    <t>Mathematical Modelling of Natural Phenomena</t>
  </si>
  <si>
    <t>MBIO</t>
  </si>
  <si>
    <t>mBio</t>
  </si>
  <si>
    <t>MEAS PHYS EDUC EXERC</t>
  </si>
  <si>
    <t>Measurement in Physical Education and Exercise Science</t>
  </si>
  <si>
    <t>MECH IND</t>
  </si>
  <si>
    <t>Mechanics &amp; Industry</t>
  </si>
  <si>
    <t>MECH SCI</t>
  </si>
  <si>
    <t>Mechanical Sciences</t>
  </si>
  <si>
    <t>MED ANTHROPOL</t>
  </si>
  <si>
    <t>Medical Anthropology</t>
  </si>
  <si>
    <t>MEDCHEMCOMM</t>
  </si>
  <si>
    <t>MedChemComm</t>
  </si>
  <si>
    <t>MED GENET-BERLIN</t>
  </si>
  <si>
    <t>Medizinische Genetik</t>
  </si>
  <si>
    <t>MED HEALTH CARE PHIL</t>
  </si>
  <si>
    <t>Medicine Health Care and Philosophy</t>
  </si>
  <si>
    <t>MEDICC REV</t>
  </si>
  <si>
    <t>MEDICC Review</t>
  </si>
  <si>
    <t>MEDICINA-LITHUANIA</t>
  </si>
  <si>
    <t>MED INTENSIVA</t>
  </si>
  <si>
    <t>Medicina Intensiva</t>
  </si>
  <si>
    <t>MEDITERR J HEMATOL I</t>
  </si>
  <si>
    <t>Mediterranean Journal of Hematology and Infectious Diseases</t>
  </si>
  <si>
    <t>MED KLIN-INTENSIVMED</t>
  </si>
  <si>
    <t>Medizinische Klinik-Intensivmedizin und Notfallmedizin</t>
  </si>
  <si>
    <t>MED LAW REV</t>
  </si>
  <si>
    <t>Medical Law Review</t>
  </si>
  <si>
    <t>MED NUCL</t>
  </si>
  <si>
    <t>Medecine Nucleaire-Imagerie Fonctionnelle et Metabolique</t>
  </si>
  <si>
    <t>MED ORAL PATOL ORAL</t>
  </si>
  <si>
    <t>Medicina Oral Patologia Oral y Cirugia Bucal</t>
  </si>
  <si>
    <t>MED PR</t>
  </si>
  <si>
    <t>MEDYCYNA PRACY</t>
  </si>
  <si>
    <t>MED ULTRASON</t>
  </si>
  <si>
    <t>Medical Ultrasonography</t>
  </si>
  <si>
    <t>MED WETER</t>
  </si>
  <si>
    <t>Medycyna Weterynaryjna-Veterinary Medicine-Science and Practice</t>
  </si>
  <si>
    <t>MENT HEALTH PHYS ACT</t>
  </si>
  <si>
    <t>Mental Health and Physical Activity</t>
  </si>
  <si>
    <t>METABOLITES</t>
  </si>
  <si>
    <t>Metabolites</t>
  </si>
  <si>
    <t>METAB SYNDR RELAT D</t>
  </si>
  <si>
    <t>Metabolic Syndrome and Related Disorders</t>
  </si>
  <si>
    <t>METACOGN LEARN</t>
  </si>
  <si>
    <t>Metacognition and Learning</t>
  </si>
  <si>
    <t>METALLOMICS</t>
  </si>
  <si>
    <t>Metallomics</t>
  </si>
  <si>
    <t>Methods in Cell Biology</t>
  </si>
  <si>
    <t>Methods in Enzymology</t>
  </si>
  <si>
    <t>METHOD MICROBIOL</t>
  </si>
  <si>
    <t>Methods in Microbiology</t>
  </si>
  <si>
    <t>METHODOLOGY-EUR</t>
  </si>
  <si>
    <t>Methodology-European Journal of Research Methods for the Behavioral and Social Sciences</t>
  </si>
  <si>
    <t>METHODS APPL FLUORES</t>
  </si>
  <si>
    <t>Methods and Applications in Fluorescence</t>
  </si>
  <si>
    <t>MICROB BIOTECHNOL</t>
  </si>
  <si>
    <t>Microbial Biotechnology</t>
  </si>
  <si>
    <t>Microbial Drug Resistance</t>
  </si>
  <si>
    <t>MICROBIOL GENOMICS</t>
  </si>
  <si>
    <t>Microbial Genomics</t>
  </si>
  <si>
    <t>MICROBIOLOGYOPEN</t>
  </si>
  <si>
    <t>MicrobiologyOpen</t>
  </si>
  <si>
    <t>MICROBIOL RISK ANAL</t>
  </si>
  <si>
    <t>Microbial Risk Analysis</t>
  </si>
  <si>
    <t>MICROBIOL SPECTR</t>
  </si>
  <si>
    <t>Microbiology Spectrum</t>
  </si>
  <si>
    <t>MICROBIOME</t>
  </si>
  <si>
    <t>Microbiome</t>
  </si>
  <si>
    <t>MICROMACHINES-BASEL</t>
  </si>
  <si>
    <t>Micromachines</t>
  </si>
  <si>
    <t>MICROORGANISMS</t>
  </si>
  <si>
    <t>Microorganisms</t>
  </si>
  <si>
    <t>MICROSCOPY-JPN</t>
  </si>
  <si>
    <t>Microscopy</t>
  </si>
  <si>
    <t>MIGR STUD</t>
  </si>
  <si>
    <t>Migration Studies</t>
  </si>
  <si>
    <t>MILITARY MED RES</t>
  </si>
  <si>
    <t>Military Medical Research</t>
  </si>
  <si>
    <t>MIL MED</t>
  </si>
  <si>
    <t>MILITARY MEDICINE</t>
  </si>
  <si>
    <t>MIND BRAIN EDUC</t>
  </si>
  <si>
    <t>Mind Brain and Education</t>
  </si>
  <si>
    <t>MINDFULNESS</t>
  </si>
  <si>
    <t>Mindfulness</t>
  </si>
  <si>
    <t>MINERVA CARDIOANGIOL</t>
  </si>
  <si>
    <t>MINERVA CARDIOANGIOLOGICA</t>
  </si>
  <si>
    <t>MINERVA ENDOCRINOL</t>
  </si>
  <si>
    <t>Minerva Endocrinologica</t>
  </si>
  <si>
    <t>MINERVA GASTROENTERO</t>
  </si>
  <si>
    <t>Minerva Gastroenterologica e Dietologica</t>
  </si>
  <si>
    <t>MINERVA PEDIATR</t>
  </si>
  <si>
    <t>MINERVA PEDIATRICA</t>
  </si>
  <si>
    <t>MINERVA UROL NEFROL</t>
  </si>
  <si>
    <t>Minerva Urologica E Nefrologica</t>
  </si>
  <si>
    <t>MINN SYM CHILD PSYCH</t>
  </si>
  <si>
    <t>Minnesota Symposia on Child Psychology</t>
  </si>
  <si>
    <t>MIS Q EXEC</t>
  </si>
  <si>
    <t>MIS Quarterly Executive</t>
  </si>
  <si>
    <t>MITOCHONDRIAL DNA A</t>
  </si>
  <si>
    <t>Mitochondrial DNA Part A</t>
  </si>
  <si>
    <t>MITOCHONDRIAL DNA B</t>
  </si>
  <si>
    <t>Mitochondrial DNA Part B-Resources</t>
  </si>
  <si>
    <t>MIT TECHNOL REV</t>
  </si>
  <si>
    <t>MIT Technology Review</t>
  </si>
  <si>
    <t>MMWR-MORBID MORTAL W</t>
  </si>
  <si>
    <t>MMWR-MORBIDITY AND MORTALITY WEEKLY REPORT</t>
  </si>
  <si>
    <t>MMWR RECOMM REP</t>
  </si>
  <si>
    <t>MMWR Recommendations and Reports</t>
  </si>
  <si>
    <t>MMWR SURVEILL SUMM</t>
  </si>
  <si>
    <t>MMWR Surveillance Summaries</t>
  </si>
  <si>
    <t>MOBILE DNA-UK</t>
  </si>
  <si>
    <t>Mobile DNA</t>
  </si>
  <si>
    <t>MOD RHEUMATOL</t>
  </si>
  <si>
    <t>Modern Rheumatology</t>
  </si>
  <si>
    <t>MOL AUTISM</t>
  </si>
  <si>
    <t>Molecular Autism</t>
  </si>
  <si>
    <t>MOL BRAIN</t>
  </si>
  <si>
    <t>Molecular Brain</t>
  </si>
  <si>
    <t>MOL CRYST LIQ CRYST</t>
  </si>
  <si>
    <t>MOLECULAR CRYSTALS AND LIQUID CRYSTALS</t>
  </si>
  <si>
    <t>MOL CYTOGENET</t>
  </si>
  <si>
    <t>Molecular Cytogenetics</t>
  </si>
  <si>
    <t>MOL GENET GENOM MED</t>
  </si>
  <si>
    <t>Molecular Genetics &amp; Genomic Medicine</t>
  </si>
  <si>
    <t>MOL GENET METAB REP</t>
  </si>
  <si>
    <t>Molecular Genetics and Metabolism Reports</t>
  </si>
  <si>
    <t>MOL GENET MICROBIOL+</t>
  </si>
  <si>
    <t>Molecular Genetics Microbiology and Virology</t>
  </si>
  <si>
    <t>MOL INFORM</t>
  </si>
  <si>
    <t>Molecular Informatics</t>
  </si>
  <si>
    <t>MOL METAB</t>
  </si>
  <si>
    <t>Molecular Metabolism</t>
  </si>
  <si>
    <t>MOL OMICS</t>
  </si>
  <si>
    <t>Molecular Omics</t>
  </si>
  <si>
    <t>MOL ORAL MICROBIOL</t>
  </si>
  <si>
    <t>Molecular Oral Microbiology</t>
  </si>
  <si>
    <t>MOL SYNDROMOL</t>
  </si>
  <si>
    <t>Molecular Syndromology</t>
  </si>
  <si>
    <t>MOL THER-METH CLIN D</t>
  </si>
  <si>
    <t>Molecular Therapy-Methods &amp; Clinical Development</t>
  </si>
  <si>
    <t>MOL THER-NUCL ACIDS</t>
  </si>
  <si>
    <t>Molecular Therapy-Nucleic Acids</t>
  </si>
  <si>
    <t>MOL THER-ONCOLYTICS</t>
  </si>
  <si>
    <t>Molecular Therapy-Oncolytics</t>
  </si>
  <si>
    <t>MOVIMENTO-PORTO ALEG</t>
  </si>
  <si>
    <t>Movimento</t>
  </si>
  <si>
    <t>MSPHERE</t>
  </si>
  <si>
    <t>mSphere</t>
  </si>
  <si>
    <t>MSYSTEMS</t>
  </si>
  <si>
    <t>mSystems</t>
  </si>
  <si>
    <t>MUCOSAL IMMUNOL</t>
  </si>
  <si>
    <t>Mucosal Immunology</t>
  </si>
  <si>
    <t>MULTISENS RES</t>
  </si>
  <si>
    <t>Multisensory Research</t>
  </si>
  <si>
    <t>MULT SCLER J</t>
  </si>
  <si>
    <t>Multiple Sclerosis Journal</t>
  </si>
  <si>
    <t>MULT SCLER RELAT DIS</t>
  </si>
  <si>
    <t>Multiple Sclerosis and Related Disorders</t>
  </si>
  <si>
    <t>MUSCULOSKEL SCI PRAC</t>
  </si>
  <si>
    <t>Musculoskeletal Science and Practice</t>
  </si>
  <si>
    <t>MYCOBIOLOGY</t>
  </si>
  <si>
    <t>MYCOKEYS</t>
  </si>
  <si>
    <t>MycoKeys</t>
  </si>
  <si>
    <t>MYCOSCIENCE</t>
  </si>
  <si>
    <t>MYCOSPHERE</t>
  </si>
  <si>
    <t>Mycosphere</t>
  </si>
  <si>
    <t>MYCOTOXIN RES</t>
  </si>
  <si>
    <t>Mycotoxin Research</t>
  </si>
  <si>
    <t>NAGOYA J MED SCI</t>
  </si>
  <si>
    <t>Nagoya Journal of Medical Science</t>
  </si>
  <si>
    <t>NANOETHICS</t>
  </si>
  <si>
    <t>NanoEthics</t>
  </si>
  <si>
    <t>NANOMATERIALS-BASEL</t>
  </si>
  <si>
    <t>Nanomaterials</t>
  </si>
  <si>
    <t>NANOPHOTONICS-BERLIN</t>
  </si>
  <si>
    <t>Nanophotonics</t>
  </si>
  <si>
    <t>NANOSCALE</t>
  </si>
  <si>
    <t>Nanoscale</t>
  </si>
  <si>
    <t>Nanoscale advances</t>
  </si>
  <si>
    <t>NANOTECHNOL REV</t>
  </si>
  <si>
    <t>Nanotechnology Reviews</t>
  </si>
  <si>
    <t>NAT BIOMED ENG</t>
  </si>
  <si>
    <t>Nature Biomedical Engineering</t>
  </si>
  <si>
    <t>NAT CHEM</t>
  </si>
  <si>
    <t>Nature Chemistry</t>
  </si>
  <si>
    <t>NAT COMMUN</t>
  </si>
  <si>
    <t>Nature Communications</t>
  </si>
  <si>
    <t>NAT HUM BEHAV</t>
  </si>
  <si>
    <t>Nature Human Behaviour</t>
  </si>
  <si>
    <t>NATL SCI REV</t>
  </si>
  <si>
    <t>National Science Review</t>
  </si>
  <si>
    <t>NAT MACH INTELL</t>
  </si>
  <si>
    <t>Nature Machine Intelligence</t>
  </si>
  <si>
    <t>NAT MICROBIOL</t>
  </si>
  <si>
    <t>Nature Microbiology</t>
  </si>
  <si>
    <t>Nature Physics</t>
  </si>
  <si>
    <t>NAT REV CARDIOL</t>
  </si>
  <si>
    <t>Nature Reviews Cardiology</t>
  </si>
  <si>
    <t>NAT REV CHEM</t>
  </si>
  <si>
    <t>Nature Reviews Chemistry</t>
  </si>
  <si>
    <t>NAT REV CLIN ONCOL</t>
  </si>
  <si>
    <t>Nature Reviews Clinical Oncology</t>
  </si>
  <si>
    <t>NAT REV DIS PRIMERS</t>
  </si>
  <si>
    <t>Nature Reviews Disease Primers</t>
  </si>
  <si>
    <t>NAT REV ENDOCRINOL</t>
  </si>
  <si>
    <t>Nature Reviews Endocrinology</t>
  </si>
  <si>
    <t>NAT REV GASTRO HEPAT</t>
  </si>
  <si>
    <t>Nature Reviews Gastroenterology &amp; Hepatology</t>
  </si>
  <si>
    <t>NAT REV NEPHROL</t>
  </si>
  <si>
    <t>Nature Reviews Nephrology</t>
  </si>
  <si>
    <t>NAT REV NEUROL</t>
  </si>
  <si>
    <t>Nature Reviews Neurology</t>
  </si>
  <si>
    <t>NAT REV RHEUMATOL</t>
  </si>
  <si>
    <t>Nature Reviews Rheumatology</t>
  </si>
  <si>
    <t>NAT REV UROL</t>
  </si>
  <si>
    <t>Nature Reviews Urology</t>
  </si>
  <si>
    <t>NAT SCI SLEEP</t>
  </si>
  <si>
    <t>Nature and Science of Sleep</t>
  </si>
  <si>
    <t>Nature metabolism</t>
  </si>
  <si>
    <t>Nebraska Symposium on Motivation</t>
  </si>
  <si>
    <t>NEGOT CONFL MANAG R</t>
  </si>
  <si>
    <t>Negotiation and Conflict Management Research</t>
  </si>
  <si>
    <t>NEPHROL NURS J</t>
  </si>
  <si>
    <t>Nephrology Nursing Journal</t>
  </si>
  <si>
    <t>NEPHRON</t>
  </si>
  <si>
    <t>Network neuroscience</t>
  </si>
  <si>
    <t>NEURAL COMPUT</t>
  </si>
  <si>
    <t>NEURAL COMPUTATION</t>
  </si>
  <si>
    <t>NEURAL NETWORKS</t>
  </si>
  <si>
    <t>NEURAL PLAST</t>
  </si>
  <si>
    <t>NEURAL PLASTICITY</t>
  </si>
  <si>
    <t>NEURAL REGEN RES</t>
  </si>
  <si>
    <t>Neural Regeneration Research</t>
  </si>
  <si>
    <t>NEUROBIOL STRESS</t>
  </si>
  <si>
    <t>Neurobiology of Stress</t>
  </si>
  <si>
    <t>NEUROETHICS-NETH</t>
  </si>
  <si>
    <t>Neuroethics</t>
  </si>
  <si>
    <t>NEUROIMAGE-CLIN</t>
  </si>
  <si>
    <t>NeuroImage-Clinical</t>
  </si>
  <si>
    <t>NEUROL ASIA</t>
  </si>
  <si>
    <t>Neurology Asia</t>
  </si>
  <si>
    <t>NEUROL-GENET</t>
  </si>
  <si>
    <t>Neurology-Genetics</t>
  </si>
  <si>
    <t>NEUROL-NEUROIMMUNOL</t>
  </si>
  <si>
    <t>Neurology-Neuroimmunology &amp; Neuroinflammation</t>
  </si>
  <si>
    <t>Neurology and therapy</t>
  </si>
  <si>
    <t>NEUROL SCI NEUROPHYS</t>
  </si>
  <si>
    <t>Neurological Sciences and Neurophysiology</t>
  </si>
  <si>
    <t>NEUROPHOTONICS</t>
  </si>
  <si>
    <t>Neurophotonics</t>
  </si>
  <si>
    <t>NEUROPHYSIOLOGY+</t>
  </si>
  <si>
    <t>NEUROPHYSIOLOGY</t>
  </si>
  <si>
    <t>NEUROPSYCH DIS TREAT</t>
  </si>
  <si>
    <t>Neuropsychiatric Disease and Treatment</t>
  </si>
  <si>
    <t>NEUROSCI BULL</t>
  </si>
  <si>
    <t>Neuroscience Bulletin</t>
  </si>
  <si>
    <t>NEUROSPINE</t>
  </si>
  <si>
    <t>Neurospine</t>
  </si>
  <si>
    <t>NEUROSURG FOCUS</t>
  </si>
  <si>
    <t>Neurosurgical Focus</t>
  </si>
  <si>
    <t>Neurotherapeutics</t>
  </si>
  <si>
    <t>NEW DIR CHILD ADOLES</t>
  </si>
  <si>
    <t>New Directions for Child and Adolescent Development</t>
  </si>
  <si>
    <t>NEW LEFT REV</t>
  </si>
  <si>
    <t>NEW LEFT REVIEW</t>
  </si>
  <si>
    <t>NEW PERSPECT TURK</t>
  </si>
  <si>
    <t>New Perspectives on Turkey</t>
  </si>
  <si>
    <t>NEXUS NETW J</t>
  </si>
  <si>
    <t>Nexus Network Journal</t>
  </si>
  <si>
    <t>NIGER J CLIN PRACT</t>
  </si>
  <si>
    <t>Nigerian Journal of Clinical Practice</t>
  </si>
  <si>
    <t>NOISE HEALTH</t>
  </si>
  <si>
    <t>Noise &amp; Health</t>
  </si>
  <si>
    <t>NONLIN DYNAM PSYCHOL</t>
  </si>
  <si>
    <t>Nonlinear Dynamics Psychology and Life Sciences</t>
  </si>
  <si>
    <t>NORD J MUSIC THER</t>
  </si>
  <si>
    <t>Nordic Journal of Music Therapy</t>
  </si>
  <si>
    <t>NORD STUD ALCOHOL DR</t>
  </si>
  <si>
    <t>Nordic Studies on Alcohol and Drugs</t>
  </si>
  <si>
    <t>NOROPSIKIYATRI ARS</t>
  </si>
  <si>
    <t>Noropsikiyatri Arsivi-Archives of Neuropsychiatry</t>
  </si>
  <si>
    <t>Notarzt</t>
  </si>
  <si>
    <t>NOTES REC</t>
  </si>
  <si>
    <t>Notes and Records-The Royal Society Journal of the History of Science</t>
  </si>
  <si>
    <t>NPJ BIOFILMS MICROBI</t>
  </si>
  <si>
    <t>npj Biofilms and Microbiomes</t>
  </si>
  <si>
    <t>NPJ BREAST CANCER</t>
  </si>
  <si>
    <t>npj Breast Cancer</t>
  </si>
  <si>
    <t>NPJ DIGIT MED</t>
  </si>
  <si>
    <t>npj Digital Medicine</t>
  </si>
  <si>
    <t>NPJ GENOM MED</t>
  </si>
  <si>
    <t>npj Genomic Medicine</t>
  </si>
  <si>
    <t>NPJ MICROGRAVITY</t>
  </si>
  <si>
    <t>NPJ Microgravity</t>
  </si>
  <si>
    <t>NPJ Parkinson's disease</t>
  </si>
  <si>
    <t>NPJ PRECIS ONCOL</t>
  </si>
  <si>
    <t>npj Precision Oncology</t>
  </si>
  <si>
    <t>NPJ PRIM CARE RESP M</t>
  </si>
  <si>
    <t>npj Primary Care Respiratory Medicine</t>
  </si>
  <si>
    <t>NPJ REGEN MED</t>
  </si>
  <si>
    <t>npj Regenerative Medicine</t>
  </si>
  <si>
    <t>NPJ SCHIZOPHR</t>
  </si>
  <si>
    <t>npj Schizophrenia</t>
  </si>
  <si>
    <t>NPJ SCI LEARN</t>
  </si>
  <si>
    <t>npj Science of Learning</t>
  </si>
  <si>
    <t>NPJ VACCINES</t>
  </si>
  <si>
    <t>npj Vaccines</t>
  </si>
  <si>
    <t>NUCLEIC ACID THER</t>
  </si>
  <si>
    <t>Nucleic Acid Therapeutics</t>
  </si>
  <si>
    <t>NUCLEUS-PHILA</t>
  </si>
  <si>
    <t>Nucleus</t>
  </si>
  <si>
    <t>NUNCIUS</t>
  </si>
  <si>
    <t>Nuncius-Journal of the History of Science</t>
  </si>
  <si>
    <t>NURS CRIT CARE</t>
  </si>
  <si>
    <t>Nursing in Critical Care</t>
  </si>
  <si>
    <t>NURSE EDUC PRACT</t>
  </si>
  <si>
    <t>Nurse Education in Practice</t>
  </si>
  <si>
    <t>NURS OPEN</t>
  </si>
  <si>
    <t>Nursing Open</t>
  </si>
  <si>
    <t>NURS PHILOS</t>
  </si>
  <si>
    <t>Nursing Philosophy</t>
  </si>
  <si>
    <t>NUTR BULL</t>
  </si>
  <si>
    <t>NUTRITION BULLETIN</t>
  </si>
  <si>
    <t>NUTR DIABETES</t>
  </si>
  <si>
    <t>Nutrition &amp; Diabetes</t>
  </si>
  <si>
    <t>NUTRIENTS</t>
  </si>
  <si>
    <t>Nutrients</t>
  </si>
  <si>
    <t>NUTR J</t>
  </si>
  <si>
    <t>Nutrition Journal</t>
  </si>
  <si>
    <t>NUTR RES PRACT</t>
  </si>
  <si>
    <t>Nutrition Research and Practice</t>
  </si>
  <si>
    <t>Obesity Facts</t>
  </si>
  <si>
    <t>OCCUP THER INT</t>
  </si>
  <si>
    <t>Occupational Therapy International</t>
  </si>
  <si>
    <t>ONCOGENESIS</t>
  </si>
  <si>
    <t>Oncogenesis</t>
  </si>
  <si>
    <t>ONCOIMMUNOLOGY</t>
  </si>
  <si>
    <t>OncoImmunology</t>
  </si>
  <si>
    <t>ONCOL LETT</t>
  </si>
  <si>
    <t>Oncology Letters</t>
  </si>
  <si>
    <t>Oncologie</t>
  </si>
  <si>
    <t>ONCOL RES TREAT</t>
  </si>
  <si>
    <t>Oncology Research and Treatment</t>
  </si>
  <si>
    <t>ONCOTARGETS THER</t>
  </si>
  <si>
    <t>OncoTargets and Therapy</t>
  </si>
  <si>
    <t>ONE HEALTH-AMSTERDAM</t>
  </si>
  <si>
    <t>One Health</t>
  </si>
  <si>
    <t>Onkologe</t>
  </si>
  <si>
    <t>OPEN BIOL</t>
  </si>
  <si>
    <t>Open Biology</t>
  </si>
  <si>
    <t>OPEN CHEM</t>
  </si>
  <si>
    <t>Open Chemistry</t>
  </si>
  <si>
    <t>OPEN FORUM INFECT DI</t>
  </si>
  <si>
    <t>Open Forum Infectious Diseases</t>
  </si>
  <si>
    <t>OPEN LIFE SCI</t>
  </si>
  <si>
    <t>Open Life Sciences</t>
  </si>
  <si>
    <t>OPEN MED-WARSAW</t>
  </si>
  <si>
    <t>Open Medicine</t>
  </si>
  <si>
    <t>OPER NEUROSURG</t>
  </si>
  <si>
    <t>Operative Neurosurgery</t>
  </si>
  <si>
    <t>OPER ORTHOP TRAUMATO</t>
  </si>
  <si>
    <t>Operative Orthopadie und Traumatologie</t>
  </si>
  <si>
    <t>OPHTHALMIC RES</t>
  </si>
  <si>
    <t>OPHTHALMOL THER</t>
  </si>
  <si>
    <t>Ophthalmology and Therapy</t>
  </si>
  <si>
    <t>OPTICA</t>
  </si>
  <si>
    <t>Optica</t>
  </si>
  <si>
    <t>OPT MATER EXPRESS</t>
  </si>
  <si>
    <t>Optical Materials Express</t>
  </si>
  <si>
    <t>OPTO-ELECTRON ADV</t>
  </si>
  <si>
    <t>Opto-Electronic Advances</t>
  </si>
  <si>
    <t>OPT SWITCH NETW</t>
  </si>
  <si>
    <t>Optical Switching and Networking</t>
  </si>
  <si>
    <t>ORAL HLTH PREV DENT</t>
  </si>
  <si>
    <t>Oral Health &amp; Preventive Dentistry</t>
  </si>
  <si>
    <t>ORAL MAXIL SURG CLIN</t>
  </si>
  <si>
    <t>Oral and Maxillofacial Surgery Clinics of North America</t>
  </si>
  <si>
    <t>ORAL RADIOL</t>
  </si>
  <si>
    <t>Oral Radiology</t>
  </si>
  <si>
    <t>ORGANOGENESIS</t>
  </si>
  <si>
    <t>Organogenesis</t>
  </si>
  <si>
    <t>ORGAN PSYCHOL REV</t>
  </si>
  <si>
    <t>Organizational Psychology Review</t>
  </si>
  <si>
    <t>ORG CHEM FRONT</t>
  </si>
  <si>
    <t>Organic Chemistry Frontiers</t>
  </si>
  <si>
    <t>ORL-Journal for Oto-Rhino-Laryngology Head and Neck Surgery</t>
  </si>
  <si>
    <t>OR SURG OR MED OR PA</t>
  </si>
  <si>
    <t>Oral Surgery Oral Medicine Oral Pathology Oral Radiology</t>
  </si>
  <si>
    <t>ORTHOP J SPORTS MED</t>
  </si>
  <si>
    <t>Orthopaedic Journal of Sports Medicine</t>
  </si>
  <si>
    <t>ORTHOP SURG</t>
  </si>
  <si>
    <t>Orthopaedic Surgery</t>
  </si>
  <si>
    <t>ORTHOP TRAUMATOL-SUR</t>
  </si>
  <si>
    <t>Orthopaedics &amp; Traumatology-Surgery &amp; Research</t>
  </si>
  <si>
    <t>ORVOSI HETILAP</t>
  </si>
  <si>
    <t>OSLI RETINA</t>
  </si>
  <si>
    <t>Ophthalmic Surgery Lasers &amp; Imaging Retina</t>
  </si>
  <si>
    <t>PAEDIATR INT CHILD H</t>
  </si>
  <si>
    <t>Paediatrics and International Child Health</t>
  </si>
  <si>
    <t>PAIN PHYSICIAN</t>
  </si>
  <si>
    <t>Pain Physician</t>
  </si>
  <si>
    <t>PAIN PRACT</t>
  </si>
  <si>
    <t>Pain Practice</t>
  </si>
  <si>
    <t>PAIN RES MANAG</t>
  </si>
  <si>
    <t>Pain Research &amp; Management</t>
  </si>
  <si>
    <t>PAIN THER</t>
  </si>
  <si>
    <t>Pain and Therapy</t>
  </si>
  <si>
    <t>PAK VET J</t>
  </si>
  <si>
    <t>PAKISTAN VETERINARY JOURNAL</t>
  </si>
  <si>
    <t>PALLIAT SUPPORT CARE</t>
  </si>
  <si>
    <t>Palliative &amp; Supportive Care</t>
  </si>
  <si>
    <t>PAPELES POBLAC</t>
  </si>
  <si>
    <t>Papeles de Poblacion</t>
  </si>
  <si>
    <t>Parasite</t>
  </si>
  <si>
    <t>PARENT-SCI PRACT</t>
  </si>
  <si>
    <t>Parenting-Science and Practice</t>
  </si>
  <si>
    <t>PARKINSONS DIS-US</t>
  </si>
  <si>
    <t>Parkinsons Disease</t>
  </si>
  <si>
    <t>PART FIBRE TOXICOL</t>
  </si>
  <si>
    <t>Particle and Fibre Toxicology</t>
  </si>
  <si>
    <t>PATHOG DIS</t>
  </si>
  <si>
    <t>Pathogens and Disease</t>
  </si>
  <si>
    <t>PATHOGENS</t>
  </si>
  <si>
    <t>Pathogens</t>
  </si>
  <si>
    <t>PATHOG GLOB HEALTH</t>
  </si>
  <si>
    <t>Pathogens and Global Health</t>
  </si>
  <si>
    <t>PATIENT</t>
  </si>
  <si>
    <t>Patient-Patient Centered Outcomes Research</t>
  </si>
  <si>
    <t>PATIENT PREFER ADHER</t>
  </si>
  <si>
    <t>Patient Preference and Adherence</t>
  </si>
  <si>
    <t>PEDIAT ALLERG IMM-UK</t>
  </si>
  <si>
    <t>PEDIAT ALLER IMM PUL</t>
  </si>
  <si>
    <t>Pediatric Allergy Immunology and Pulmonology</t>
  </si>
  <si>
    <t>PEDIATR DENT</t>
  </si>
  <si>
    <t>PEDIATRIC DENTISTRY</t>
  </si>
  <si>
    <t>PEDIATR DRUGS</t>
  </si>
  <si>
    <t>PEDIATRIC DRUGS</t>
  </si>
  <si>
    <t>PEDIATR NEONATOL</t>
  </si>
  <si>
    <t>Pediatrics and Neonatology</t>
  </si>
  <si>
    <t>PEDIATR OBES</t>
  </si>
  <si>
    <t>Pediatric Obesity</t>
  </si>
  <si>
    <t>PEDIATR PHYS THER</t>
  </si>
  <si>
    <t>Pediatric Physical Therapy</t>
  </si>
  <si>
    <t>PEDIATR RHEUMATOL</t>
  </si>
  <si>
    <t>Pediatric Rheumatology</t>
  </si>
  <si>
    <t>PEERJ</t>
  </si>
  <si>
    <t>PeerJ</t>
  </si>
  <si>
    <t>PEPTIDE SCI</t>
  </si>
  <si>
    <t>Peptide Science</t>
  </si>
  <si>
    <t>PERFILES LATINOAM</t>
  </si>
  <si>
    <t>Perfiles Latinoamericanos</t>
  </si>
  <si>
    <t>PERIOPER MED-LONDON</t>
  </si>
  <si>
    <t>Perioperative Medicine</t>
  </si>
  <si>
    <t>PERSONAL DISORD</t>
  </si>
  <si>
    <t>Personality Disorders-Theory Research and Treatment</t>
  </si>
  <si>
    <t>PERSONAL MENT HEALTH</t>
  </si>
  <si>
    <t>Personality and Mental Health</t>
  </si>
  <si>
    <t>PERSOONIA</t>
  </si>
  <si>
    <t>PERSPECT BEHAV SCI</t>
  </si>
  <si>
    <t>Perspectives on Behavior Science</t>
  </si>
  <si>
    <t>PERSPECT MED EDUC</t>
  </si>
  <si>
    <t>Perspectives on Medical Education</t>
  </si>
  <si>
    <t>PERSPECT PSYCHOL SCI</t>
  </si>
  <si>
    <t>Perspectives on Psychological Science</t>
  </si>
  <si>
    <t>PERSPECT PUBLIC HEAL</t>
  </si>
  <si>
    <t>Perspectives in Public Health</t>
  </si>
  <si>
    <t>PESQUI VET BRASIL</t>
  </si>
  <si>
    <t>PFLEGE</t>
  </si>
  <si>
    <t>Pflege</t>
  </si>
  <si>
    <t>PHARMACEUTICALS-BASE</t>
  </si>
  <si>
    <t>Pharmaceuticals</t>
  </si>
  <si>
    <t>PHARMACEUTICS</t>
  </si>
  <si>
    <t>Pharmaceutics</t>
  </si>
  <si>
    <t>PHARMACOGEN PERS MED</t>
  </si>
  <si>
    <t>Pharmacogenomics &amp; Personalized Medicine</t>
  </si>
  <si>
    <t>PHARMACOGN MAG</t>
  </si>
  <si>
    <t>Pharmacognosy Magazine</t>
  </si>
  <si>
    <t>PHARMACOL RES PERSPE</t>
  </si>
  <si>
    <t>Pharmacology Research &amp; Perspectives</t>
  </si>
  <si>
    <t>PHARM CHEM J+</t>
  </si>
  <si>
    <t>PHARMACEUTICAL CHEMISTRY JOURNAL</t>
  </si>
  <si>
    <t>PHILOS ETHICS HUM ME</t>
  </si>
  <si>
    <t>Philosophy Ethics and Humanities in Medicine</t>
  </si>
  <si>
    <t>PHILOS MATH</t>
  </si>
  <si>
    <t>Philosophia Mathematica</t>
  </si>
  <si>
    <t>PHILOSOPHICAL TRANSACTIONS OF THE ROYAL SOCIETY A-MATHEMATICAL PHYSICAL AND ENGINEERING SCIENCES</t>
  </si>
  <si>
    <t>PHOTOACOUSTICS</t>
  </si>
  <si>
    <t>Photoacoustics</t>
  </si>
  <si>
    <t>Photobiomodulation, photomedicine, and laser surgery</t>
  </si>
  <si>
    <t>PHOTODIAGN PHOTODYN</t>
  </si>
  <si>
    <t>Photodiagnosis and Photodynamic Therapy</t>
  </si>
  <si>
    <t>PHOTONICS-BASEL</t>
  </si>
  <si>
    <t>Photonics</t>
  </si>
  <si>
    <t>PHOTONIC SENS</t>
  </si>
  <si>
    <t>Photonic Sensors</t>
  </si>
  <si>
    <t>PHOTONICS RES</t>
  </si>
  <si>
    <t>Photonics Research</t>
  </si>
  <si>
    <t>PHYSICIAN SPORTSMED</t>
  </si>
  <si>
    <t>PHYSICIAN AND SPORTSMEDICINE</t>
  </si>
  <si>
    <t>PHYSIOL INT</t>
  </si>
  <si>
    <t>Physiology International</t>
  </si>
  <si>
    <t>PHYSIOL RES</t>
  </si>
  <si>
    <t>PHYSIOLOGICAL RESEARCH</t>
  </si>
  <si>
    <t>PHYSIOTHER CAN</t>
  </si>
  <si>
    <t>Physiotherapy Canada</t>
  </si>
  <si>
    <t>PHYSIOTHER THEOR PR</t>
  </si>
  <si>
    <t>PHYSIOTHERAPY THEORY AND PRACTICE</t>
  </si>
  <si>
    <t>Physica Medica-European Journal of Medical Physics</t>
  </si>
  <si>
    <t>PHYS MED REH CLIN N</t>
  </si>
  <si>
    <t>Physical Medicine and Rehabilitation Clinics of North America</t>
  </si>
  <si>
    <t>PHYS OCCUP THER PEDI</t>
  </si>
  <si>
    <t>PHYSICAL &amp; OCCUPATIONAL THERAPY IN PEDIATRICS</t>
  </si>
  <si>
    <t>PHYS REV PHYS EDUC R</t>
  </si>
  <si>
    <t>Physical Review Physics Education Research</t>
  </si>
  <si>
    <t>PHYS TEACH</t>
  </si>
  <si>
    <t>PHYSICS TEACHER</t>
  </si>
  <si>
    <t>PHYS THER REHABIL J</t>
  </si>
  <si>
    <t>Physical Therapy &amp; Rehabilitation Journal</t>
  </si>
  <si>
    <t>Phytobiomes journal</t>
  </si>
  <si>
    <t>PHYTOCHEMISTRY</t>
  </si>
  <si>
    <t>PROCEEDINGS OF THE INSTITUTION OF MECHANICAL ENGINEERS PART A-JOURNAL OF POWER AND ENERGY</t>
  </si>
  <si>
    <t>PROCEEDINGS OF THE INSTITUTION OF MECHANICAL ENGINEERS PART B-JOURNAL OF ENGINEERING MANUFACTURE</t>
  </si>
  <si>
    <t>PROCEEDINGS OF THE INSTITUTION OF MECHANICAL ENGINEERS PART C-JOURNAL OF MECHANICAL ENGINEERING SCIENCE</t>
  </si>
  <si>
    <t>PROCEEDINGS OF THE INSTITUTION OF MECHANICAL ENGINEERS PART D-JOURNAL OF AUTOMOBILE ENGINEERING</t>
  </si>
  <si>
    <t>PROCEEDINGS OF THE INSTITUTION OF MECHANICAL ENGINEERS PART E-JOURNAL OF PROCESS MECHANICAL ENGINEERING</t>
  </si>
  <si>
    <t>PROCEEDINGS OF THE INSTITUTION OF MECHANICAL ENGINEERS PART F-JOURNAL OF RAIL AND RAPID TRANSIT</t>
  </si>
  <si>
    <t>PROCEEDINGS OF THE INSTITUTION OF MECHANICAL ENGINEERS PART G-JOURNAL OF AEROSPACE ENGINEERING</t>
  </si>
  <si>
    <t>PROCEEDINGS OF THE INSTITUTION OF MECHANICAL ENGINEERS PART H-JOURNAL OF ENGINEERING IN MEDICINE</t>
  </si>
  <si>
    <t>PROCEEDINGS OF THE INSTITUTION OF MECHANICAL ENGINEERS PART J-JOURNAL OF ENGINEERING TRIBOLOGY</t>
  </si>
  <si>
    <t>PROCEEDINGS OF THE INSTITUTION OF MECHANICAL ENGINEERS PART K-JOURNAL OF MULTI-BODY DYNAMICS</t>
  </si>
  <si>
    <t>P I MECH ENG P-J SPO</t>
  </si>
  <si>
    <t>Proceedings of the Institution of Mechanical Engineers Part P-Journal of Sports Engineering and Technology</t>
  </si>
  <si>
    <t>PITUITARY</t>
  </si>
  <si>
    <t>PLANT BIOTECHNOL-NAR</t>
  </si>
  <si>
    <t>Plant Biotechnology</t>
  </si>
  <si>
    <t>PLANT GENOME-US</t>
  </si>
  <si>
    <t>Plant Genome</t>
  </si>
  <si>
    <t>PLANT METHODS</t>
  </si>
  <si>
    <t>Plant Methods</t>
  </si>
  <si>
    <t>PLANT REPROD</t>
  </si>
  <si>
    <t>Plant Reproduction</t>
  </si>
  <si>
    <t>PLANT SIGNAL BEHAV</t>
  </si>
  <si>
    <t>Plant Signaling &amp; Behavior</t>
  </si>
  <si>
    <t>PLAST SURG-CHIR PLAS</t>
  </si>
  <si>
    <t>Plastic Surgery</t>
  </si>
  <si>
    <t>P LINN SOC N S W</t>
  </si>
  <si>
    <t>PROCEEDINGS OF THE LINNEAN SOCIETY OF NEW SOUTH WALES</t>
  </si>
  <si>
    <t>PLOS ONE</t>
  </si>
  <si>
    <t>PLoS One</t>
  </si>
  <si>
    <t>PM&amp;R</t>
  </si>
  <si>
    <t>PROCEEDINGS OF THE NATIONAL ACADEMY OF SCIENCES OF THE UNITED STATES OF AMERICA</t>
  </si>
  <si>
    <t>POL ARCH INTERN MED</t>
  </si>
  <si>
    <t>Polish Archives of Internal Medicine-Polskie Archiwum Medycyny Wewnetrznej</t>
  </si>
  <si>
    <t>POLIT GENDER</t>
  </si>
  <si>
    <t>Politics &amp; Gender</t>
  </si>
  <si>
    <t>POL J MICROBIOL</t>
  </si>
  <si>
    <t>Polish Journal of Microbiology</t>
  </si>
  <si>
    <t>POL J PATHOL</t>
  </si>
  <si>
    <t>POLISH JOURNAL OF PATHOLOGY</t>
  </si>
  <si>
    <t>POPUL HEALTH METR</t>
  </si>
  <si>
    <t>Population Health Metrics</t>
  </si>
  <si>
    <t>PORCINE HEALTH MANAG</t>
  </si>
  <si>
    <t>Porcine Health Management</t>
  </si>
  <si>
    <t>POSTEP HIG MED DOSW</t>
  </si>
  <si>
    <t>Postepy Higieny I Medycyny Doswiadczalnej</t>
  </si>
  <si>
    <t>POSTEPY BIOL KOMORKI</t>
  </si>
  <si>
    <t>POSTEPY BIOLOGII KOMORKI</t>
  </si>
  <si>
    <t>PPAR RES</t>
  </si>
  <si>
    <t>PPAR Research</t>
  </si>
  <si>
    <t>PRACT RADIAT ONCOL</t>
  </si>
  <si>
    <t>Practical Radiation Oncology</t>
  </si>
  <si>
    <t>PRAT PSYCHOL</t>
  </si>
  <si>
    <t>Pratiques Psychologiques</t>
  </si>
  <si>
    <t>PREGNANCY HYPERTENS</t>
  </si>
  <si>
    <t>Pregnancy Hypertension-An International Journal of Womens Cardiovascular Health</t>
  </si>
  <si>
    <t>PREHOSP DISASTER MED</t>
  </si>
  <si>
    <t>Prehospital and Disaster Medicine</t>
  </si>
  <si>
    <t>PREV CHRONIC DIS</t>
  </si>
  <si>
    <t>Preventing Chronic Disease</t>
  </si>
  <si>
    <t>P R HEALTH SCI J</t>
  </si>
  <si>
    <t>Puerto Rico Health Sciences Journal</t>
  </si>
  <si>
    <t>PRIM CARE DIABETES</t>
  </si>
  <si>
    <t>Primary Care Diabetes</t>
  </si>
  <si>
    <t>PRIM HEALTH CARE RES</t>
  </si>
  <si>
    <t>Primary Health Care Research and Development</t>
  </si>
  <si>
    <t>PROBAB MATH STAT-POL</t>
  </si>
  <si>
    <t>Probability and Mathematical Statistics-Poland</t>
  </si>
  <si>
    <t>PROBIOTICS ANTIMICRO</t>
  </si>
  <si>
    <t>Probiotics and Antimicrobial Proteins</t>
  </si>
  <si>
    <t>PROF INFORM</t>
  </si>
  <si>
    <t>Profesional de la Informacion</t>
  </si>
  <si>
    <t>PROG BRAIN RES</t>
  </si>
  <si>
    <t>Progress in Brain Research</t>
  </si>
  <si>
    <t>PROG COMM HLTH PARTN</t>
  </si>
  <si>
    <t>Progress in Community Health Partnerships-Research Education and Action</t>
  </si>
  <si>
    <t>PROG MOL BIOL TRANSL</t>
  </si>
  <si>
    <t>Progress in Molecular Biology and Translational Science</t>
  </si>
  <si>
    <t>PROG NAT SCI-MATER</t>
  </si>
  <si>
    <t>Progress in Natural Science-Materials International</t>
  </si>
  <si>
    <t>PROG OPTICS</t>
  </si>
  <si>
    <t>Progress in Optics</t>
  </si>
  <si>
    <t>PROG ORTHOD</t>
  </si>
  <si>
    <t>Progress in Orthodontics</t>
  </si>
  <si>
    <t>PROG QUANT ELECTRON</t>
  </si>
  <si>
    <t>PROGRESS IN QUANTUM ELECTRONICS</t>
  </si>
  <si>
    <t>PROG TRANSPLANT</t>
  </si>
  <si>
    <t>Progress in Transplantation</t>
  </si>
  <si>
    <t>Proceedings of the Romanian Academy Series A-Mathematics Physics Technical Sciences Information Science</t>
  </si>
  <si>
    <t>PROPULS POWER RES</t>
  </si>
  <si>
    <t>Propulsion and Power Research</t>
  </si>
  <si>
    <t>PROSTATE INT</t>
  </si>
  <si>
    <t>Prostate International</t>
  </si>
  <si>
    <t>PROTEIN CELL</t>
  </si>
  <si>
    <t>Protein &amp; Cell</t>
  </si>
  <si>
    <t>P ROY SOC A-MATH PHY</t>
  </si>
  <si>
    <t>PROCEEDINGS OF THE ROYAL SOCIETY A-MATHEMATICAL PHYSICAL AND ENGINEERING SCIENCES</t>
  </si>
  <si>
    <t>P ROY SOC B-BIOL SCI</t>
  </si>
  <si>
    <t>PROCEEDINGS OF THE ROYAL SOCIETY B-BIOLOGICAL SCIENCES</t>
  </si>
  <si>
    <t>PSICOL EDUC</t>
  </si>
  <si>
    <t>Psicologia Educativa</t>
  </si>
  <si>
    <t>PSICOL-REFLEX CRIT</t>
  </si>
  <si>
    <t>Psicologia-Reflexao e Critica</t>
  </si>
  <si>
    <t>PSIHOLOGIJA</t>
  </si>
  <si>
    <t>Psihologija</t>
  </si>
  <si>
    <t>PSYCHIAT CLIN PSYCH</t>
  </si>
  <si>
    <t>Psychiatry and Clinical Psychopharmacology</t>
  </si>
  <si>
    <t>PSYCHIAT INVEST</t>
  </si>
  <si>
    <t>Psychiatry Investigation</t>
  </si>
  <si>
    <t>PSYCHIAT PSYCHOL LAW</t>
  </si>
  <si>
    <t>Psychiatry Psychology and Law</t>
  </si>
  <si>
    <t>PSYCH J</t>
  </si>
  <si>
    <t>PsyCh Journal</t>
  </si>
  <si>
    <t>PSYCHOANAL HIST</t>
  </si>
  <si>
    <t>Psychoanalysis and History</t>
  </si>
  <si>
    <t>PSYCHOANAL STUD CHIL</t>
  </si>
  <si>
    <t>Psychoanalytic Study of the Child</t>
  </si>
  <si>
    <t>Psychogeriatrics</t>
  </si>
  <si>
    <t>PSYCHOL AESTHET CREA</t>
  </si>
  <si>
    <t>Psychology of Aesthetics Creativity and the Arts</t>
  </si>
  <si>
    <t>PSYCHOL FR</t>
  </si>
  <si>
    <t>Psychologie Francaise</t>
  </si>
  <si>
    <t>PSYCHOL HEALTH MED</t>
  </si>
  <si>
    <t>Psychology Health &amp; Medicine</t>
  </si>
  <si>
    <t>PSYCHOL LEARN MOTIV</t>
  </si>
  <si>
    <t>Psychology of Learning and Motivation</t>
  </si>
  <si>
    <t>PSYCHOL MEN MASCULIN</t>
  </si>
  <si>
    <t>Psychology of Men &amp; Masculinities</t>
  </si>
  <si>
    <t>PSYCHOL MUSIC</t>
  </si>
  <si>
    <t>Psychology of Music</t>
  </si>
  <si>
    <t>PSYCHOL RELIG SPIRIT</t>
  </si>
  <si>
    <t>Psychology of Religion and Spirituality</t>
  </si>
  <si>
    <t>PSYCHOL RES BEHAV MA</t>
  </si>
  <si>
    <t>Psychology Research and Behavior Management</t>
  </si>
  <si>
    <t>PSYCHOL SCI PUBL INT</t>
  </si>
  <si>
    <t>Psychological Science in the Public Interest</t>
  </si>
  <si>
    <t>PSYCHOL SERV</t>
  </si>
  <si>
    <t>Psychological Services</t>
  </si>
  <si>
    <t>PSYCHOL SEX</t>
  </si>
  <si>
    <t>Psychology &amp; Sexuality</t>
  </si>
  <si>
    <t>PSYCHOL TRAUMA-US</t>
  </si>
  <si>
    <t>Psychological Trauma-Theory Research Practice and Policy</t>
  </si>
  <si>
    <t>PSYCHOL VIOLENCE</t>
  </si>
  <si>
    <t>Psychology of Violence</t>
  </si>
  <si>
    <t>Psycho-Oncologie</t>
  </si>
  <si>
    <t>PSYCHOSIS</t>
  </si>
  <si>
    <t>Psychosis-Psychological Social and Integrative Approaches</t>
  </si>
  <si>
    <t>PSYCHOSOC INTERV</t>
  </si>
  <si>
    <t>Psychosocial Intervention</t>
  </si>
  <si>
    <t>PUBLIC HEALTH ETH-UK</t>
  </si>
  <si>
    <t>Public Health Ethics</t>
  </si>
  <si>
    <t>PUBLIC HEALTH GENOM</t>
  </si>
  <si>
    <t>Public Health Genomics</t>
  </si>
  <si>
    <t>PULM CIRC</t>
  </si>
  <si>
    <t>Pulmonary Circulation</t>
  </si>
  <si>
    <t>PULMONOLOGY</t>
  </si>
  <si>
    <t>Pulmonology</t>
  </si>
  <si>
    <t>QUAL ENG</t>
  </si>
  <si>
    <t>Quality Engineering</t>
  </si>
  <si>
    <t>QUAL MANAG HEALTH CA</t>
  </si>
  <si>
    <t>Quality Management in Health Care</t>
  </si>
  <si>
    <t>QUAL RES</t>
  </si>
  <si>
    <t>Qualitative Research</t>
  </si>
  <si>
    <t>QUAL RES PSYCHOL</t>
  </si>
  <si>
    <t>Qualitative Research in Psychology</t>
  </si>
  <si>
    <t>QUAL RES SPORT EXERC</t>
  </si>
  <si>
    <t>Qualitative Research in Sport Exercise and Health</t>
  </si>
  <si>
    <t>QUAL TECHNOL QUANT M</t>
  </si>
  <si>
    <t>Quality Technology and Quantitative Management</t>
  </si>
  <si>
    <t>QUANT IMAG MED SURG</t>
  </si>
  <si>
    <t>Quantitative Imaging in Medicine and Surgery</t>
  </si>
  <si>
    <t>RACE SOC PROBL</t>
  </si>
  <si>
    <t>Race and Social Problems</t>
  </si>
  <si>
    <t>RADIAT ONCOL</t>
  </si>
  <si>
    <t>Radiation Oncology</t>
  </si>
  <si>
    <t>RADIOL ONCOL</t>
  </si>
  <si>
    <t>Radiology and Oncology</t>
  </si>
  <si>
    <t>RADIOPROTECTION</t>
  </si>
  <si>
    <t>RANDOM MATRICES-THEO</t>
  </si>
  <si>
    <t>Random Matrices-Theory and Applications</t>
  </si>
  <si>
    <t>REACT CHEM ENG</t>
  </si>
  <si>
    <t>Reaction Chemistry &amp; Engineering</t>
  </si>
  <si>
    <t>READ WRIT</t>
  </si>
  <si>
    <t>READING AND WRITING</t>
  </si>
  <si>
    <t>RECHTSMEDIZIN</t>
  </si>
  <si>
    <t>Rechtsmedizin</t>
  </si>
  <si>
    <t>REDOX BIOL</t>
  </si>
  <si>
    <t>Redox Biology</t>
  </si>
  <si>
    <t>REF SERV REV</t>
  </si>
  <si>
    <t>REFERENCE SERVICES REVIEW</t>
  </si>
  <si>
    <t>REGEN THER</t>
  </si>
  <si>
    <t>Regenerative Therapy</t>
  </si>
  <si>
    <t>REHABILITATION</t>
  </si>
  <si>
    <t>REND LINCEI-SCI FIS</t>
  </si>
  <si>
    <t>RENDICONTI LINCEI-SCIENZE FISICHE E NATURALI</t>
  </si>
  <si>
    <t>REPROD HEALTH</t>
  </si>
  <si>
    <t>Reproductive Health</t>
  </si>
  <si>
    <t>REPROD MED BIOL</t>
  </si>
  <si>
    <t>Reproductive Medicine and Biology</t>
  </si>
  <si>
    <t>RES AUTISM SPECT DIS</t>
  </si>
  <si>
    <t>Research in Autism Spectrum Disorders</t>
  </si>
  <si>
    <t>RES GERONTOL NURS</t>
  </si>
  <si>
    <t>Research in Gerontological Nursing</t>
  </si>
  <si>
    <t>RES HUM DEV</t>
  </si>
  <si>
    <t>Research in Human Development</t>
  </si>
  <si>
    <t>RESPIR MED RES-FRANC</t>
  </si>
  <si>
    <t>Respiratory Medicine and Research</t>
  </si>
  <si>
    <t>RES PRACT PERS SEV D</t>
  </si>
  <si>
    <t>RESEARCH AND PRACTICE FOR PERSONS WITH SEVERE DISABILITIES</t>
  </si>
  <si>
    <t>RES SOC ADMIN PHARM</t>
  </si>
  <si>
    <t>Research in Social &amp; Administrative Pharmacy</t>
  </si>
  <si>
    <t>RES SPORTS MED</t>
  </si>
  <si>
    <t>Research in Sports Medicine</t>
  </si>
  <si>
    <t>RES SYNTH METHODS</t>
  </si>
  <si>
    <t>Research Synthesis Methods</t>
  </si>
  <si>
    <t>RESTAURATOR</t>
  </si>
  <si>
    <t>RESTAURATOR-INTERNATIONAL JOURNAL FOR THE PRESERVATION OF LIBRARY AND ARCHIVAL MATERIAL</t>
  </si>
  <si>
    <t>RES THEOR NURS PRACT</t>
  </si>
  <si>
    <t>Research and Theory for Nursing Practice</t>
  </si>
  <si>
    <t>REV ARGENT MICROBIOL</t>
  </si>
  <si>
    <t>REVISTA ARGENTINA DE MICROBIOLOGIA</t>
  </si>
  <si>
    <t>REV BRAS ANESTESIOL</t>
  </si>
  <si>
    <t>Revista Brasileira de Anestesiologia</t>
  </si>
  <si>
    <t>REV BRAS MED ESPORTE</t>
  </si>
  <si>
    <t>Revista Brasileira de Medicina do Esporte</t>
  </si>
  <si>
    <t>REV CERCET INTERV SO</t>
  </si>
  <si>
    <t>Revista de Cercetare si Interventie Sociala</t>
  </si>
  <si>
    <t>REV COMP CH</t>
  </si>
  <si>
    <t>Reviews in Computational Chemistry</t>
  </si>
  <si>
    <t>Reviews of Environmental Contamination and Toxicology</t>
  </si>
  <si>
    <t>REV ENVIRON HEALTH</t>
  </si>
  <si>
    <t>REVIEWS ON ENVIRONMENTAL HEALTH</t>
  </si>
  <si>
    <t>REV ENVIRON SCI BIO</t>
  </si>
  <si>
    <t>REVIEWS IN ENVIRONMENTAL SCIENCE AND BIO-TECHNOLOGY</t>
  </si>
  <si>
    <t>REV ESP DOC CIENT</t>
  </si>
  <si>
    <t>Revista Espanola de Documentacion Cientifica</t>
  </si>
  <si>
    <t>REV ESP MED NUCL IMA</t>
  </si>
  <si>
    <t>Revista Espanola de Medicina Nuclear e Imagen Molecular</t>
  </si>
  <si>
    <t>REV ESP SALUD PUBLIC</t>
  </si>
  <si>
    <t>Revista Espanola de Salud Publica</t>
  </si>
  <si>
    <t>REV ESTUD SOC</t>
  </si>
  <si>
    <t>Revista de Estudios Sociales</t>
  </si>
  <si>
    <t>Revue Francaise d Allergologie</t>
  </si>
  <si>
    <t>REV HIST MATH</t>
  </si>
  <si>
    <t>Revue d Histoire des Mathematiques</t>
  </si>
  <si>
    <t>REV IBEROAM DIAGN EV</t>
  </si>
  <si>
    <t>Revista Iberoamericana de Diagnostico y Evaluacion-e Avaliacao Psicologica</t>
  </si>
  <si>
    <t>REV IBEROAM MICOL</t>
  </si>
  <si>
    <t>REVISTA IBEROAMERICANA DE MICOLOGIA</t>
  </si>
  <si>
    <t>REV INST MED TROP SP</t>
  </si>
  <si>
    <t>REVISTA DO INSTITUTO DE MEDICINA TROPICAL DE SAO PAULO</t>
  </si>
  <si>
    <t>REV INT ANDROL</t>
  </si>
  <si>
    <t>Revista Internacional de Andrologia</t>
  </si>
  <si>
    <t>REV INT MED CIENC AC</t>
  </si>
  <si>
    <t>Revista Internacional de Medicina y Ciencias de la Actividad Fisica y del Deporte</t>
  </si>
  <si>
    <t>Revista de Investigacion Clinica-Clinical and Translational Investigation</t>
  </si>
  <si>
    <t>REV J AUTISM DEV DIS</t>
  </si>
  <si>
    <t>Review Journal of Autism and Developmental Disorders</t>
  </si>
  <si>
    <t>REV NEUROSCIENCE</t>
  </si>
  <si>
    <t>Reviews of Physiology Biochemistry and Pharmacology</t>
  </si>
  <si>
    <t>REV PORT CARDIOL</t>
  </si>
  <si>
    <t>Revista Portuguesa de Cardiologia</t>
  </si>
  <si>
    <t>REV PSICODIDACT</t>
  </si>
  <si>
    <t>Revista de Psicodidactica</t>
  </si>
  <si>
    <t>REV PSICOL DEPORTE</t>
  </si>
  <si>
    <t>Revista de Psicologia del Deporte</t>
  </si>
  <si>
    <t>REV PSICOL SOC</t>
  </si>
  <si>
    <t>Revista de Psicologia Social</t>
  </si>
  <si>
    <t>REV PSIQUIATR SALUD</t>
  </si>
  <si>
    <t>Revista de Psiquiatria y Salud Mental</t>
  </si>
  <si>
    <t>REV ROMANA MED LAB</t>
  </si>
  <si>
    <t>Revista Romana de Medicina de Laborator</t>
  </si>
  <si>
    <t>REVSTAT-STAT J</t>
  </si>
  <si>
    <t>REVSTAT-Statistical Journal</t>
  </si>
  <si>
    <t>RHEUMATOL THER</t>
  </si>
  <si>
    <t>Rheumatology and Therapy</t>
  </si>
  <si>
    <t>RISK ANAL</t>
  </si>
  <si>
    <t>RISK ANALYSIS</t>
  </si>
  <si>
    <t>RISK MANAG HEALTHC P</t>
  </si>
  <si>
    <t>Risk Management and Healthcare Policy</t>
  </si>
  <si>
    <t>RISK MANAG-UK</t>
  </si>
  <si>
    <t>Risk Management-An International Journal</t>
  </si>
  <si>
    <t>R J</t>
  </si>
  <si>
    <t>R Journal</t>
  </si>
  <si>
    <t>RMD open</t>
  </si>
  <si>
    <t>ROFO-FORTSCHRITTE AUF DEM GEBIET DER RONTGENSTRAHLEN UND DER BILDGEBENDEN VERFAHREN</t>
  </si>
  <si>
    <t>ROM J MORPHOL EMBRYO</t>
  </si>
  <si>
    <t>Romanian Journal of Morphology and Embryology</t>
  </si>
  <si>
    <t>ROY SOC OPEN SCI</t>
  </si>
  <si>
    <t>Royal Society Open Science</t>
  </si>
  <si>
    <t>RSC ADV</t>
  </si>
  <si>
    <t>RSC Advances</t>
  </si>
  <si>
    <t>RSF-RUS SAGE J SOC S</t>
  </si>
  <si>
    <t>RSF-The Russell Sage Journal of the Social Sciences</t>
  </si>
  <si>
    <t>RURAL REMOTE HEALTH</t>
  </si>
  <si>
    <t>Rural and Remote Health</t>
  </si>
  <si>
    <t>RUSS J DEV BIOL+</t>
  </si>
  <si>
    <t>Russian Journal of Developmental Biology</t>
  </si>
  <si>
    <t>SAF HEALTH WORK-KR</t>
  </si>
  <si>
    <t>Safety and Health at Work</t>
  </si>
  <si>
    <t>S AFR J RES SPORT PH</t>
  </si>
  <si>
    <t>SOUTH AFRICAN JOURNAL FOR RESEARCH IN SPORT PHYSICAL EDUCATION AND RECREATION</t>
  </si>
  <si>
    <t>SAGE OPEN</t>
  </si>
  <si>
    <t>SAGE Open</t>
  </si>
  <si>
    <t>SAHARA J-J SOC ASP H</t>
  </si>
  <si>
    <t>Sahara J-Journal of Social Aspects of HIV-AIDS</t>
  </si>
  <si>
    <t>SAINS MALAYS</t>
  </si>
  <si>
    <t>Sains Malaysiana</t>
  </si>
  <si>
    <t>SALUD COLECT</t>
  </si>
  <si>
    <t>Salud Colectiva</t>
  </si>
  <si>
    <t>SANTE PUBLIQUE</t>
  </si>
  <si>
    <t>Sante Publique</t>
  </si>
  <si>
    <t>SAUDE SOC-SAO PAULO</t>
  </si>
  <si>
    <t>Saude e Sociedade</t>
  </si>
  <si>
    <t>SAUDI J BIOL SCI</t>
  </si>
  <si>
    <t>SAUDI JOURNAL OF BIOLOGICAL SCIENCES</t>
  </si>
  <si>
    <t>SAUDI J GASTROENTERO</t>
  </si>
  <si>
    <t>Saudi Journal of Gastroenterology</t>
  </si>
  <si>
    <t>SAUDI PHARM J</t>
  </si>
  <si>
    <t>SAUDI PHARMACEUTICAL JOURNAL</t>
  </si>
  <si>
    <t>SCAND ACTUAR J</t>
  </si>
  <si>
    <t>Scandinavian Actuarial Journal</t>
  </si>
  <si>
    <t>SCAND J OCCUP THER</t>
  </si>
  <si>
    <t>Scandinavian Journal of Occupational Therapy</t>
  </si>
  <si>
    <t>SCAND J TRAUMA RESUS</t>
  </si>
  <si>
    <t>Scandinavian Journal of Trauma Resuscitation &amp; Emergency Medicine</t>
  </si>
  <si>
    <t>SCAND J UROL</t>
  </si>
  <si>
    <t>Scandinavian Journal of Urology</t>
  </si>
  <si>
    <t>SCH MENT HEALTH</t>
  </si>
  <si>
    <t>School Mental Health</t>
  </si>
  <si>
    <t>SCHULE PSYCHOL</t>
  </si>
  <si>
    <t>School Psychology</t>
  </si>
  <si>
    <t>SCI ADV</t>
  </si>
  <si>
    <t>Science Advances</t>
  </si>
  <si>
    <t>SCI BULL</t>
  </si>
  <si>
    <t>Science Bulletin</t>
  </si>
  <si>
    <t>SCI CHINA CHEM</t>
  </si>
  <si>
    <t>Science China-Chemistry</t>
  </si>
  <si>
    <t>SCI CHINA LIFE SCI</t>
  </si>
  <si>
    <t>Science China-Life Sciences</t>
  </si>
  <si>
    <t>SCI CULT-UK</t>
  </si>
  <si>
    <t>SCIENCE AS CULTURE</t>
  </si>
  <si>
    <t>SCI DATA</t>
  </si>
  <si>
    <t>Scientific Data</t>
  </si>
  <si>
    <t>SCI EDUC-NETHERLANDS</t>
  </si>
  <si>
    <t>Science &amp; Education</t>
  </si>
  <si>
    <t>SCIENCEASIA</t>
  </si>
  <si>
    <t>SCI IMMUNOL</t>
  </si>
  <si>
    <t>Science Immunology</t>
  </si>
  <si>
    <t>SCI MED FOOTBALL</t>
  </si>
  <si>
    <t>Science and Medicine in Football</t>
  </si>
  <si>
    <t>SCI NAT-HEIDELBERG</t>
  </si>
  <si>
    <t>Science of Nature</t>
  </si>
  <si>
    <t>SCI PROGRESS-UK</t>
  </si>
  <si>
    <t>SCIENCE PROGRESS</t>
  </si>
  <si>
    <t>SCI REP-UK</t>
  </si>
  <si>
    <t>Scientific Reports</t>
  </si>
  <si>
    <t>SCI SIGNAL</t>
  </si>
  <si>
    <t>Science Signaling</t>
  </si>
  <si>
    <t>SCI STUD READ</t>
  </si>
  <si>
    <t>SCIENTIFIC STUDIES OF READING</t>
  </si>
  <si>
    <t>SCI TECHNOL BUILT EN</t>
  </si>
  <si>
    <t>Science and Technology for the Built Environment</t>
  </si>
  <si>
    <t>SCI TECHNOL STUD</t>
  </si>
  <si>
    <t>Science and Technology Studies</t>
  </si>
  <si>
    <t>SCI TRANSL MED</t>
  </si>
  <si>
    <t>Science Translational Medicine</t>
  </si>
  <si>
    <t>SE ASIAN J TROP MED</t>
  </si>
  <si>
    <t>SOUTHEAST ASIAN JOURNAL OF TROPICAL MEDICINE AND PUBLIC HEALTH</t>
  </si>
  <si>
    <t>SELF IDENTITY</t>
  </si>
  <si>
    <t>Self and Identity</t>
  </si>
  <si>
    <t>SEMIN INTERVENT RAD</t>
  </si>
  <si>
    <t>SEMINARS IN INTERVENTIONAL RADIOLOGY</t>
  </si>
  <si>
    <t>SEMIN ONCOL NURS</t>
  </si>
  <si>
    <t>Seminars in Oncology Nursing</t>
  </si>
  <si>
    <t>SEMIN OPHTHALMOL</t>
  </si>
  <si>
    <t>Seminars in Ophthalmology</t>
  </si>
  <si>
    <t>SEMIN ORTHOD</t>
  </si>
  <si>
    <t>Seminars in Orthodontics</t>
  </si>
  <si>
    <t>SEMIN PEDIATR NEUROL</t>
  </si>
  <si>
    <t>Seminars in Pediatric Neurology</t>
  </si>
  <si>
    <t>SEMIN PEDIATR SURG</t>
  </si>
  <si>
    <t>Seminars in Pediatric Surgery</t>
  </si>
  <si>
    <t>SEMIN PLAST SURG</t>
  </si>
  <si>
    <t>Seminars in Plastic Surgery</t>
  </si>
  <si>
    <t>SEMIN SPEECH LANG</t>
  </si>
  <si>
    <t>SEMINARS IN SPEECH AND LANGUAGE</t>
  </si>
  <si>
    <t>SEMIN THORAC CARDIOV</t>
  </si>
  <si>
    <t>Seminars in Thoracic and Cardiovascular Surgery</t>
  </si>
  <si>
    <t>SEMIOTICA</t>
  </si>
  <si>
    <t>SEPARATIONS</t>
  </si>
  <si>
    <t>Separations</t>
  </si>
  <si>
    <t>SEQUENTIAL ANAL</t>
  </si>
  <si>
    <t>Sequential Analysis-Design Methods and Applications</t>
  </si>
  <si>
    <t>SEX EDUC-SEX SOC LEA</t>
  </si>
  <si>
    <t>Sex Education-Sexuality Society and Learning</t>
  </si>
  <si>
    <t>SEX MED REV</t>
  </si>
  <si>
    <t>Sexual Medicine Reviews</t>
  </si>
  <si>
    <t>SEX MED-UK</t>
  </si>
  <si>
    <t>Sexual Medicine</t>
  </si>
  <si>
    <t>SEX RELATSH THER</t>
  </si>
  <si>
    <t>Sexual and Relationship Therapy</t>
  </si>
  <si>
    <t>SEX REPROD HEALTHC</t>
  </si>
  <si>
    <t>Sexual &amp; Reproductive Healthcare</t>
  </si>
  <si>
    <t>SEX REPROD HLTH MATT</t>
  </si>
  <si>
    <t>Sexual and Reproductive Health Matters</t>
  </si>
  <si>
    <t>SEX RES SOC POLICY</t>
  </si>
  <si>
    <t>Sexuality Research and Social Policy</t>
  </si>
  <si>
    <t>SIGNAL TRANSDUCT TAR</t>
  </si>
  <si>
    <t>Signal Transduction and Targeted Therapy</t>
  </si>
  <si>
    <t>SIMUL HEALTHC</t>
  </si>
  <si>
    <t>Simulation in Healthcare-Journal of the Society for Simulation in Healthcare</t>
  </si>
  <si>
    <t>SIMULATION-TRANSACTIONS OF THE SOCIETY FOR MODELING AND SIMULATION INTERNATIONAL</t>
  </si>
  <si>
    <t>SINGAP MED J</t>
  </si>
  <si>
    <t>SINGAPORE MEDICAL JOURNAL</t>
  </si>
  <si>
    <t>SKELET MUSCLE</t>
  </si>
  <si>
    <t>Skeletal Muscle</t>
  </si>
  <si>
    <t>SLAS DISCOV</t>
  </si>
  <si>
    <t>SLAS Discovery</t>
  </si>
  <si>
    <t>SLAS TECHNOL</t>
  </si>
  <si>
    <t>SLAS Technology</t>
  </si>
  <si>
    <t>SLEEP HEALTH</t>
  </si>
  <si>
    <t>Sleep Health</t>
  </si>
  <si>
    <t>SLOV VET RES</t>
  </si>
  <si>
    <t>Slovenian Veterinary Research</t>
  </si>
  <si>
    <t>SOC EPISTEMOL</t>
  </si>
  <si>
    <t>Social Epistemology</t>
  </si>
  <si>
    <t>Social and Personality Psychology Compass</t>
  </si>
  <si>
    <t>SOC INCL</t>
  </si>
  <si>
    <t>Social Inclusion</t>
  </si>
  <si>
    <t>SOC INFLUENCE</t>
  </si>
  <si>
    <t>Social Influence</t>
  </si>
  <si>
    <t>SOC ISS POLICY REV</t>
  </si>
  <si>
    <t>Social Issues and Policy Review</t>
  </si>
  <si>
    <t>SOC JUSTICE RES</t>
  </si>
  <si>
    <t>Social Justice Research</t>
  </si>
  <si>
    <t>SOC PSYCHOL EDUC</t>
  </si>
  <si>
    <t>Social Psychology of Education</t>
  </si>
  <si>
    <t>SOC PSYCHOL-GERMANY</t>
  </si>
  <si>
    <t>Social Psychology</t>
  </si>
  <si>
    <t>SOC PSYCHOL PERS SCI</t>
  </si>
  <si>
    <t>Social Psychological and Personality Science</t>
  </si>
  <si>
    <t>SOC RES</t>
  </si>
  <si>
    <t>SOCIAL RESEARCH</t>
  </si>
  <si>
    <t>Social Science Journal</t>
  </si>
  <si>
    <t>SOC SCI JPN J</t>
  </si>
  <si>
    <t>Social Science Japan Journal</t>
  </si>
  <si>
    <t>SOC THEOR HEALTH</t>
  </si>
  <si>
    <t>Social Theory &amp; Health</t>
  </si>
  <si>
    <t>SOC WORK PUBLIC HLTH</t>
  </si>
  <si>
    <t>Social Work in Public Health</t>
  </si>
  <si>
    <t>SOLID FUEL CHEM+</t>
  </si>
  <si>
    <t>Solid Fuel Chemistry</t>
  </si>
  <si>
    <t>SPAT COGN COMPUT</t>
  </si>
  <si>
    <t>Spatial Cognition and Computation</t>
  </si>
  <si>
    <t>SPAT STAT-NETH</t>
  </si>
  <si>
    <t>Spatial Statistics</t>
  </si>
  <si>
    <t>SPINE J</t>
  </si>
  <si>
    <t>Spine Journal</t>
  </si>
  <si>
    <t>SPORT EXERC PERFORM</t>
  </si>
  <si>
    <t>Sport Exercise and Performance Psychology</t>
  </si>
  <si>
    <t>SPORTS HEALTH</t>
  </si>
  <si>
    <t>Sports Health-A Multidisciplinary Approach</t>
  </si>
  <si>
    <t>SPORTS MED-OPEN</t>
  </si>
  <si>
    <t>Sports Medicine-Open</t>
  </si>
  <si>
    <t>SRP ARK CELOK LEK</t>
  </si>
  <si>
    <t>Srpski Arhiv za Celokupno Lekarstvo</t>
  </si>
  <si>
    <t>STAT ANAL DATA MIN</t>
  </si>
  <si>
    <t>Statistical Analysis and Data Mining</t>
  </si>
  <si>
    <t>STAT BIOPHARM RES</t>
  </si>
  <si>
    <t>Statistics in Biopharmaceutical Research</t>
  </si>
  <si>
    <t>STATISTICS-ABINGDON</t>
  </si>
  <si>
    <t>STAT-US</t>
  </si>
  <si>
    <t>Stat</t>
  </si>
  <si>
    <t>STEM CELL REP</t>
  </si>
  <si>
    <t>Stem Cell Reports</t>
  </si>
  <si>
    <t>STEM CELL RES</t>
  </si>
  <si>
    <t>Stem Cell Research</t>
  </si>
  <si>
    <t>STEM CELL RES THER</t>
  </si>
  <si>
    <t>Stem Cell Research &amp; Therapy</t>
  </si>
  <si>
    <t>STEM CELL REV REP</t>
  </si>
  <si>
    <t>Stem Cell Reviews and Reports</t>
  </si>
  <si>
    <t>STOCHASTICS</t>
  </si>
  <si>
    <t>Stochastics-An International Journal of Probability and Stochastic Processes</t>
  </si>
  <si>
    <t>STOCH PARTIAL DIFFER</t>
  </si>
  <si>
    <t>Stochastics and Partial Differential Equations-Analysis and Computations</t>
  </si>
  <si>
    <t>STRENGTH COND J</t>
  </si>
  <si>
    <t>STRENGTH AND CONDITIONING JOURNAL</t>
  </si>
  <si>
    <t>STROKE VASC NEUROL</t>
  </si>
  <si>
    <t>Stroke and Vascular Neurology</t>
  </si>
  <si>
    <t>STUD EDUC EVAL</t>
  </si>
  <si>
    <t>Studies in Educational Evaluation</t>
  </si>
  <si>
    <t>STUD HIST PHI PART C</t>
  </si>
  <si>
    <t>Studies in History and Philosophy of Science Part C-Studies in History and Philosophy of Biological and Biomedical Sciences</t>
  </si>
  <si>
    <t>STUD SCI EDUC</t>
  </si>
  <si>
    <t>Studies in Science Education</t>
  </si>
  <si>
    <t>SUBST ABUS</t>
  </si>
  <si>
    <t>Substance Abuse</t>
  </si>
  <si>
    <t>SUBST ABUSE TREAT PR</t>
  </si>
  <si>
    <t>Substance Abuse Treatment Prevention and Policy</t>
  </si>
  <si>
    <t>Suchttherapie</t>
  </si>
  <si>
    <t>SURF TOPOGR-METROL</t>
  </si>
  <si>
    <t>Surface Topography-Metrology and Properties</t>
  </si>
  <si>
    <t>SURG INFECT</t>
  </si>
  <si>
    <t>Surgical Infections</t>
  </si>
  <si>
    <t>SUSTAIN CHEM PHARM</t>
  </si>
  <si>
    <t>Sustainable Chemistry and Pharmacy</t>
  </si>
  <si>
    <t>SYMMETRY-BASEL</t>
  </si>
  <si>
    <t>Symmetry-Basel</t>
  </si>
  <si>
    <t>SYN SYST BIOTECHNO</t>
  </si>
  <si>
    <t>Synthetic and Systems Biotechnology</t>
  </si>
  <si>
    <t>SYST BIOL REPROD MED</t>
  </si>
  <si>
    <t>SYST REV-LONDON</t>
  </si>
  <si>
    <t>Systematic Reviews</t>
  </si>
  <si>
    <t>TAIWAN J OBSTET GYNE</t>
  </si>
  <si>
    <t>Taiwanese Journal of Obstetrics &amp; Gynecology</t>
  </si>
  <si>
    <t>TARGET ONCOL</t>
  </si>
  <si>
    <t>Targeted Oncology</t>
  </si>
  <si>
    <t>TECH COLOPROCTOL</t>
  </si>
  <si>
    <t>Techniques in Coloproctology</t>
  </si>
  <si>
    <t>TECHNOL HEALTH CARE</t>
  </si>
  <si>
    <t>TECHNOLOGY AND HEALTH CARE</t>
  </si>
  <si>
    <t>TECHNOL SOC</t>
  </si>
  <si>
    <t>TECHNOLOGY IN SOCIETY</t>
  </si>
  <si>
    <t>TELEMAT INFORM</t>
  </si>
  <si>
    <t>TELEMATICS AND INFORMATICS</t>
  </si>
  <si>
    <t>TELEMED E-HEALTH</t>
  </si>
  <si>
    <t>Telemedicine and e-Health</t>
  </si>
  <si>
    <t>TER PSICOL</t>
  </si>
  <si>
    <t>Terapia Psicologica</t>
  </si>
  <si>
    <t>TEST-SPAIN</t>
  </si>
  <si>
    <t>T FAMENA</t>
  </si>
  <si>
    <t>Transactions of FAMENA</t>
  </si>
  <si>
    <t>THAI J VET MED</t>
  </si>
  <si>
    <t>Thai Journal of Veterinary Medicine</t>
  </si>
  <si>
    <t>The journal of pathology: clinical research</t>
  </si>
  <si>
    <t>The Lancet. Digital health</t>
  </si>
  <si>
    <t>THEOL SCI</t>
  </si>
  <si>
    <t>Theology and Science</t>
  </si>
  <si>
    <t>THEOR BIOL FORUM</t>
  </si>
  <si>
    <t>Theoretical Biology Forum</t>
  </si>
  <si>
    <t>THEOR EXP CHEM+</t>
  </si>
  <si>
    <t>Theoretical and Experimental Chemistry</t>
  </si>
  <si>
    <t>THER ADV CHRONIC DIS</t>
  </si>
  <si>
    <t>Therapeutic Advances in Chronic Disease</t>
  </si>
  <si>
    <t>THER ADV DRUG SAF</t>
  </si>
  <si>
    <t>Therapeutic Advances in Drug Safety</t>
  </si>
  <si>
    <t>THER ADV ENDOCRINOL</t>
  </si>
  <si>
    <t>Therapeutic Advances in Endocrinology and Metabolism</t>
  </si>
  <si>
    <t>THER ADV GASTROENTER</t>
  </si>
  <si>
    <t>Therapeutic Advances in Gastroenterology</t>
  </si>
  <si>
    <t>THER ADV HEMATOL</t>
  </si>
  <si>
    <t>Therapeutic Advances in Hematology</t>
  </si>
  <si>
    <t>THER ADV MED ONCOL</t>
  </si>
  <si>
    <t>Therapeutic Advances in Medical Oncology</t>
  </si>
  <si>
    <t>THER ADV MUSCULOSKEL</t>
  </si>
  <si>
    <t>Therapeutic Advances in Musculoskeletal Disease</t>
  </si>
  <si>
    <t>THER ADV NEUROL DISO</t>
  </si>
  <si>
    <t>Therapeutic Advances in Neurological Disorders</t>
  </si>
  <si>
    <t>THER ADV PSYCHOPHARM</t>
  </si>
  <si>
    <t>Therapeutic Advances in Psychopharmacology</t>
  </si>
  <si>
    <t>THER ADV RESPIR DIS</t>
  </si>
  <si>
    <t>Therapeutic Advances in Respiratory Disease</t>
  </si>
  <si>
    <t>THER ADV UROL</t>
  </si>
  <si>
    <t>Therapeutic Advances in Urology</t>
  </si>
  <si>
    <t>THERANOSTICS</t>
  </si>
  <si>
    <t>Theranostics</t>
  </si>
  <si>
    <t>THER CLIN RISK MANAG</t>
  </si>
  <si>
    <t>Therapeutics and Clinical Risk Management</t>
  </si>
  <si>
    <t>THER HYPOTHERMIA TEM</t>
  </si>
  <si>
    <t>Therapeutic Hypothermia and Temperature Management</t>
  </si>
  <si>
    <t>THER INNOV REGUL SCI</t>
  </si>
  <si>
    <t>Therapeutic Innovation &amp; Regulatory Science</t>
  </si>
  <si>
    <t>THERMOPHYS AEROMECH+</t>
  </si>
  <si>
    <t>Thermophysics and Aeromechanics</t>
  </si>
  <si>
    <t>THIN WALL STRUCT</t>
  </si>
  <si>
    <t>THIN-WALLED STRUCTURES</t>
  </si>
  <si>
    <t>THORAC CANCER</t>
  </si>
  <si>
    <t>Thoracic Cancer</t>
  </si>
  <si>
    <t>THORAC SURG CLIN</t>
  </si>
  <si>
    <t>Thoracic Surgery Clinics</t>
  </si>
  <si>
    <t>THROMB J</t>
  </si>
  <si>
    <t>Thrombosis Journal</t>
  </si>
  <si>
    <t>TICKS TICK-BORNE DIS</t>
  </si>
  <si>
    <t>Ticks and Tick-Borne Diseases</t>
  </si>
  <si>
    <t>TIERAERZTL PRAX G N</t>
  </si>
  <si>
    <t>TIERAERZTLICHE PRAXIS AUSGABE GROSSTIERE NUTZTIERE</t>
  </si>
  <si>
    <t>TIERAERZTL PRAX K H</t>
  </si>
  <si>
    <t>TIERAERZTLICHE PRAXIS AUSGABE KLEINTIERE HEIMTIERE</t>
  </si>
  <si>
    <t>TISSUE ENG PART C-ME</t>
  </si>
  <si>
    <t>Tissue Engineering Part C-Methods</t>
  </si>
  <si>
    <t>TOB INDUC DIS</t>
  </si>
  <si>
    <t>Tobacco Induced Diseases</t>
  </si>
  <si>
    <t>TOB REGUL SCI</t>
  </si>
  <si>
    <t>Tobacco Regulatory Science</t>
  </si>
  <si>
    <t>TOMOGRAPHY</t>
  </si>
  <si>
    <t>Tomography</t>
  </si>
  <si>
    <t>TOP CLIN NUTR</t>
  </si>
  <si>
    <t>TOPICS IN CLINICAL NUTRITION</t>
  </si>
  <si>
    <t>TOP COGN SCI</t>
  </si>
  <si>
    <t>Topics in Cognitive Science</t>
  </si>
  <si>
    <t>TOP COMPANION ANIM M</t>
  </si>
  <si>
    <t>Topics in Companion Animal Medicine</t>
  </si>
  <si>
    <t>TOPICS CURR CHEM</t>
  </si>
  <si>
    <t>Topics in Current Chemistry</t>
  </si>
  <si>
    <t>TOP ORGANOMETAL CHEM</t>
  </si>
  <si>
    <t>Topics in Organometallic Chemistry</t>
  </si>
  <si>
    <t>TOXICOL ENVIRON CHEM</t>
  </si>
  <si>
    <t>TOXICOLOGICAL AND ENVIRONMENTAL CHEMISTRY</t>
  </si>
  <si>
    <t>TOXICOL RES-UK</t>
  </si>
  <si>
    <t>Toxicology Research</t>
  </si>
  <si>
    <t>TOXICS</t>
  </si>
  <si>
    <t>Toxics</t>
  </si>
  <si>
    <t>TOXINS</t>
  </si>
  <si>
    <t>Toxins</t>
  </si>
  <si>
    <t>TRAFFIC INJ PREV</t>
  </si>
  <si>
    <t>Traffic Injury Prevention</t>
  </si>
  <si>
    <t>TRAIN EDUC PROF PSYC</t>
  </si>
  <si>
    <t>Training and Education in Professional Psychology</t>
  </si>
  <si>
    <t>TRAMES-J HUMANIT SOC</t>
  </si>
  <si>
    <t>TRAMES-Journal of the Humanities and Social Sciences</t>
  </si>
  <si>
    <t>TRANSCULT PSYCHIATRY</t>
  </si>
  <si>
    <t>Transcultural Psychiatry</t>
  </si>
  <si>
    <t>TRANSINFORMACAO</t>
  </si>
  <si>
    <t>Transinformacao</t>
  </si>
  <si>
    <t>TRANSL ANDROL UROL</t>
  </si>
  <si>
    <t>Translational Andrology and Urology</t>
  </si>
  <si>
    <t>TRANSL BEHAV MED</t>
  </si>
  <si>
    <t>Translational Behavioral Medicine</t>
  </si>
  <si>
    <t>TRANSL CANCER RES</t>
  </si>
  <si>
    <t>Translational Cancer Research</t>
  </si>
  <si>
    <t>TRANSL LUNG CANCER R</t>
  </si>
  <si>
    <t>Translational Lung Cancer Research</t>
  </si>
  <si>
    <t>TRANSL NEURODEGENER</t>
  </si>
  <si>
    <t>Translational Neurodegeneration</t>
  </si>
  <si>
    <t>TRANSL NEUROSCI</t>
  </si>
  <si>
    <t>Translational Neuroscience</t>
  </si>
  <si>
    <t>TRANSL ONCOL</t>
  </si>
  <si>
    <t>Translational Oncology</t>
  </si>
  <si>
    <t>TRANSL PEDIATR</t>
  </si>
  <si>
    <t>Translational Pediatrics</t>
  </si>
  <si>
    <t>TRANSL PSYCHIAT</t>
  </si>
  <si>
    <t>Translational Psychiatry</t>
  </si>
  <si>
    <t>TRANSL STROKE RES</t>
  </si>
  <si>
    <t>Translational Stroke Research</t>
  </si>
  <si>
    <t>TRANSL VIS SCI TECHN</t>
  </si>
  <si>
    <t>Translational Vision Science &amp; Technology</t>
  </si>
  <si>
    <t>TRANSPLANT REV-ORLAN</t>
  </si>
  <si>
    <t>Transplantation Reviews</t>
  </si>
  <si>
    <t>TRAVEL MED INFECT DI</t>
  </si>
  <si>
    <t>Travel Medicine and Infectious Disease</t>
  </si>
  <si>
    <t>TRAV GENRE SOC</t>
  </si>
  <si>
    <t>Travail Genre et Societes</t>
  </si>
  <si>
    <t>TRENDS CANCER</t>
  </si>
  <si>
    <t>Trends in Cancer</t>
  </si>
  <si>
    <t>TRENDS CHEM</t>
  </si>
  <si>
    <t>Trends in Chemistry</t>
  </si>
  <si>
    <t>TRENDS ENVIRON ANAL</t>
  </si>
  <si>
    <t>Trends in Environmental Analytical Chemistry</t>
  </si>
  <si>
    <t>TRENDS HEAR</t>
  </si>
  <si>
    <t>Trends in Hearing</t>
  </si>
  <si>
    <t>Tumori</t>
  </si>
  <si>
    <t>TURK GOGUS KALP DAMA</t>
  </si>
  <si>
    <t>Turk Gogus Kalp Damar Cerrahisi Dergisi-Turkish Journal of Thoracic and Cardiovascular Surgery</t>
  </si>
  <si>
    <t>TURK J BIOL</t>
  </si>
  <si>
    <t>TURKISH JOURNAL OF BIOLOGY</t>
  </si>
  <si>
    <t>TURK J GERIATR</t>
  </si>
  <si>
    <t>Turkish Journal of Geriatrics-Turk Geriatri Dergisi</t>
  </si>
  <si>
    <t>TURK J HEMATOL</t>
  </si>
  <si>
    <t>Turkish Journal of Hematology</t>
  </si>
  <si>
    <t>TURK J PH MED REHAB</t>
  </si>
  <si>
    <t>Turkish Journal of Physical Medicine and Rehabilitation</t>
  </si>
  <si>
    <t>UHOD-ULUSLAR HEMATOL</t>
  </si>
  <si>
    <t>UHOD-Uluslararasi Hematoloji-Onkoloji Dergisi</t>
  </si>
  <si>
    <t>UKR J PHYS OPT</t>
  </si>
  <si>
    <t>Ukrainian Journal of Physical Optics</t>
  </si>
  <si>
    <t>ULTRASONOGRAPHY</t>
  </si>
  <si>
    <t>Ultrasonography</t>
  </si>
  <si>
    <t>ULTRASOUND Q</t>
  </si>
  <si>
    <t>Ultrasound Quarterly</t>
  </si>
  <si>
    <t>Undersea and Hyperbaric Medicine</t>
  </si>
  <si>
    <t>UNITED EUR GASTROENT</t>
  </si>
  <si>
    <t>United European Gastroenterology Journal</t>
  </si>
  <si>
    <t>UNIV PSYCHOL</t>
  </si>
  <si>
    <t>Universitas Psychologica</t>
  </si>
  <si>
    <t>UPDATES SURG</t>
  </si>
  <si>
    <t>Updates in Surgery</t>
  </si>
  <si>
    <t>UROLITHIASIS</t>
  </si>
  <si>
    <t>Urolithiasis</t>
  </si>
  <si>
    <t>UROL J</t>
  </si>
  <si>
    <t>Urology Journal</t>
  </si>
  <si>
    <t>VACCINES-BASEL</t>
  </si>
  <si>
    <t>Vaccines</t>
  </si>
  <si>
    <t>VASA</t>
  </si>
  <si>
    <t>Vasa-European Journal of Vascular Medicine</t>
  </si>
  <si>
    <t>VASC ENDOVASC SURG</t>
  </si>
  <si>
    <t>Vascular and Endovascular Surgery</t>
  </si>
  <si>
    <t>VASCULAR</t>
  </si>
  <si>
    <t>VET ARHIV</t>
  </si>
  <si>
    <t>VETERINARSKI ARHIV</t>
  </si>
  <si>
    <t>VET COMP ONCOL</t>
  </si>
  <si>
    <t>Veterinary and Comparative Oncology</t>
  </si>
  <si>
    <t>Veterinary sciences</t>
  </si>
  <si>
    <t>VET ITAL</t>
  </si>
  <si>
    <t>Veterinaria Italiana</t>
  </si>
  <si>
    <t>VET MED SCI</t>
  </si>
  <si>
    <t>Veterinary Medicine and Science</t>
  </si>
  <si>
    <t>VET MEXICO</t>
  </si>
  <si>
    <t>VETERINARIA MEXICO</t>
  </si>
  <si>
    <t>VIDEOSURGERY MINIINV</t>
  </si>
  <si>
    <t>Videosurgery and Other Miniinvasive Techniques</t>
  </si>
  <si>
    <t>VIROLOGIE</t>
  </si>
  <si>
    <t>VIROL SIN</t>
  </si>
  <si>
    <t>VIROLOGICA SINICA</t>
  </si>
  <si>
    <t>VIRTUAL REAL-LONDON</t>
  </si>
  <si>
    <t>VIRTUAL REALITY</t>
  </si>
  <si>
    <t>VIRULENCE</t>
  </si>
  <si>
    <t>Virulence</t>
  </si>
  <si>
    <t>VIRUSES-BASEL</t>
  </si>
  <si>
    <t>Viruses-Basel</t>
  </si>
  <si>
    <t>VIRUS EVOL</t>
  </si>
  <si>
    <t>Virus Evolution</t>
  </si>
  <si>
    <t>VISC MED</t>
  </si>
  <si>
    <t>Visceral Medicine</t>
  </si>
  <si>
    <t>Vitamins and Hormones</t>
  </si>
  <si>
    <t>VOJNOSANIT PREGL</t>
  </si>
  <si>
    <t>Vojnosanitetski Pregled</t>
  </si>
  <si>
    <t>WEST J EMERG MED</t>
  </si>
  <si>
    <t>Western Journal of Emergency Medicine</t>
  </si>
  <si>
    <t>WIRES COGN SCI</t>
  </si>
  <si>
    <t>Wiley Interdisciplinary Reviews-Cognitive Science</t>
  </si>
  <si>
    <t>WIRES COMPUT MOL SCI</t>
  </si>
  <si>
    <t>Wiley Interdisciplinary Reviews-Computational Molecular Science</t>
  </si>
  <si>
    <t>WIRES DEV BIOL</t>
  </si>
  <si>
    <t>Wiley Interdisciplinary Reviews-Developmental Biology</t>
  </si>
  <si>
    <t>WIRES NANOMED NANOBI</t>
  </si>
  <si>
    <t>Wiley Interdisciplinary Reviews-Nanomedicine and Nanobiotechnology</t>
  </si>
  <si>
    <t>WIRES RNA</t>
  </si>
  <si>
    <t>Wiley Interdisciplinary Reviews-RNA</t>
  </si>
  <si>
    <t>WIRES SYST BIOL MED</t>
  </si>
  <si>
    <t>Wiley Interdisciplinary Reviews-Systems Biology and Medicine</t>
  </si>
  <si>
    <t>WOMEN BIRTH</t>
  </si>
  <si>
    <t>Women and Birth</t>
  </si>
  <si>
    <t>WORK</t>
  </si>
  <si>
    <t>WORK-A Journal of Prevention Assessment &amp; Rehabilitation</t>
  </si>
  <si>
    <t>WORK AGING RETIRE</t>
  </si>
  <si>
    <t>Work Aging and Retirement</t>
  </si>
  <si>
    <t>WORKPLACE HEALTH SAF</t>
  </si>
  <si>
    <t>Workplace Health &amp; Safety</t>
  </si>
  <si>
    <t>WORLD ALLERGY ORGAN</t>
  </si>
  <si>
    <t>World Allergy Organization Journal</t>
  </si>
  <si>
    <t>WORLD J CLIN CASES</t>
  </si>
  <si>
    <t>World Journal of Clinical Cases</t>
  </si>
  <si>
    <t>WORLD J DIABETES</t>
  </si>
  <si>
    <t>World Journal of Diabetes</t>
  </si>
  <si>
    <t>WORLD J EMERG MED</t>
  </si>
  <si>
    <t>World Journal Of Emergency Medicine</t>
  </si>
  <si>
    <t>WORLD J EMERG SURG</t>
  </si>
  <si>
    <t>World Journal of Emergency Surgery</t>
  </si>
  <si>
    <t>WORLD J GASTRO ONCOL</t>
  </si>
  <si>
    <t>World Journal of Gastrointestinal Oncology</t>
  </si>
  <si>
    <t>WORLD J GASTRO SURG</t>
  </si>
  <si>
    <t>World Journal of Gastrointestinal Surgery</t>
  </si>
  <si>
    <t>WORLD J MENS HEALTH</t>
  </si>
  <si>
    <t>World Journal of Mens Health</t>
  </si>
  <si>
    <t>WORLD J PEDIATR</t>
  </si>
  <si>
    <t>World Journal of Pediatrics</t>
  </si>
  <si>
    <t>WORLD J PSYCHIATR</t>
  </si>
  <si>
    <t>World Journal of Psychiatry</t>
  </si>
  <si>
    <t>WORLD J STEM CELLS</t>
  </si>
  <si>
    <t>World Journal of Stem Cells</t>
  </si>
  <si>
    <t>WORLD J SURG ONCOL</t>
  </si>
  <si>
    <t>World Journal of Surgical Oncology</t>
  </si>
  <si>
    <t>WORLD MYCOTOXIN J</t>
  </si>
  <si>
    <t>World Mycotoxin Journal</t>
  </si>
  <si>
    <t>WORLD NEUROSURG</t>
  </si>
  <si>
    <t>World Neurosurgery</t>
  </si>
  <si>
    <t>WORLD REV NUTR DIET</t>
  </si>
  <si>
    <t>World Review of Nutrition and Dietetics</t>
  </si>
  <si>
    <t>WOUND MANAG PREV</t>
  </si>
  <si>
    <t>Wound Management &amp; Prevention</t>
  </si>
  <si>
    <t>YALE J BIOL MED</t>
  </si>
  <si>
    <t>YALE JOURNAL OF BIOLOGY AND MEDICINE</t>
  </si>
  <si>
    <t>YONAGO ACTA MED</t>
  </si>
  <si>
    <t>YONAGO ACTA MEDICA</t>
  </si>
  <si>
    <t>YOUNG</t>
  </si>
  <si>
    <t>Young</t>
  </si>
  <si>
    <t>ZDRAV VARST</t>
  </si>
  <si>
    <t>Zdravstveno Varstvo</t>
  </si>
  <si>
    <t>ZEBRAFISH</t>
  </si>
  <si>
    <t>Zebrafish</t>
  </si>
  <si>
    <t>Z GEBURTSH NEONATOL</t>
  </si>
  <si>
    <t>ZEITSCHRIFT FUR GEBURTSHILFE UND NEONATOLOGIE</t>
  </si>
  <si>
    <t>Z NEUROPSYCHOL</t>
  </si>
  <si>
    <t>Zeitschrift fur Neuropsychologie</t>
  </si>
  <si>
    <t>Z SEXUALFORSCH</t>
  </si>
  <si>
    <t>Zeitschrift fur Sexualforschung</t>
  </si>
  <si>
    <t>Z SPORTPSYCHOL</t>
  </si>
  <si>
    <t>Zeitschrift fur Sportpsychologie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</si>
</sst>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ournalindex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78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B5" sqref="B5"/>
    </sheetView>
  </sheetViews>
  <sheetFormatPr baseColWidth="10" defaultRowHeight="12.75" x14ac:dyDescent="0.2"/>
  <cols>
    <col min="1" max="1" width="5" hidden="1" customWidth="1"/>
    <col min="2" max="2" width="27.5703125" style="8" bestFit="1" customWidth="1"/>
    <col min="3" max="3" width="77" style="14" customWidth="1"/>
    <col min="4" max="4" width="9.5703125" style="13" bestFit="1" customWidth="1"/>
    <col min="5" max="6" width="11" style="3" customWidth="1"/>
  </cols>
  <sheetData>
    <row r="1" spans="1:6" ht="15.75" x14ac:dyDescent="0.25">
      <c r="B1" s="7" t="str">
        <f>"Journalindex "&amp;A3</f>
        <v>Journalindex 2020</v>
      </c>
      <c r="D1" s="10"/>
    </row>
    <row r="2" spans="1:6" hidden="1" x14ac:dyDescent="0.2">
      <c r="D2" s="10"/>
    </row>
    <row r="3" spans="1:6" x14ac:dyDescent="0.2">
      <c r="A3">
        <v>2020</v>
      </c>
      <c r="D3" s="10"/>
    </row>
    <row r="4" spans="1:6" s="1" customFormat="1" ht="25.5" x14ac:dyDescent="0.2">
      <c r="B4" s="6" t="s">
        <v>5589</v>
      </c>
      <c r="C4" s="2" t="s">
        <v>4445</v>
      </c>
      <c r="D4" s="11" t="s">
        <v>5590</v>
      </c>
      <c r="E4" s="4" t="s">
        <v>5591</v>
      </c>
      <c r="F4" s="4" t="s">
        <v>5592</v>
      </c>
    </row>
    <row r="5" spans="1:6" x14ac:dyDescent="0.2">
      <c r="B5" s="9" t="s">
        <v>7949</v>
      </c>
      <c r="C5" s="15" t="s">
        <v>7950</v>
      </c>
      <c r="D5" s="12" t="str">
        <f>"2190-572X"</f>
        <v>2190-572X</v>
      </c>
      <c r="E5" s="5">
        <v>2.4060000000000001</v>
      </c>
      <c r="F5" s="5">
        <v>0.29699999999999999</v>
      </c>
    </row>
    <row r="6" spans="1:6" x14ac:dyDescent="0.2">
      <c r="B6" s="9" t="s">
        <v>5593</v>
      </c>
      <c r="C6" s="15" t="s">
        <v>4446</v>
      </c>
      <c r="D6" s="12" t="str">
        <f>"1550-7416"</f>
        <v>1550-7416</v>
      </c>
      <c r="E6" s="5">
        <v>4.0090000000000003</v>
      </c>
      <c r="F6" s="5">
        <v>0.60399999999999998</v>
      </c>
    </row>
    <row r="7" spans="1:6" x14ac:dyDescent="0.2">
      <c r="B7" s="9" t="s">
        <v>5594</v>
      </c>
      <c r="C7" s="15" t="s">
        <v>5594</v>
      </c>
      <c r="D7" s="12" t="str">
        <f>"1530-9932"</f>
        <v>1530-9932</v>
      </c>
      <c r="E7" s="5">
        <v>3.246</v>
      </c>
      <c r="F7" s="5">
        <v>0.46200000000000002</v>
      </c>
    </row>
    <row r="8" spans="1:6" x14ac:dyDescent="0.2">
      <c r="B8" s="9" t="s">
        <v>7951</v>
      </c>
      <c r="C8" s="15" t="s">
        <v>7952</v>
      </c>
      <c r="D8" s="12" t="str">
        <f>"2366-0058"</f>
        <v>2366-0058</v>
      </c>
      <c r="E8" s="5">
        <v>3.0390000000000001</v>
      </c>
      <c r="F8" s="5">
        <v>0.54900000000000004</v>
      </c>
    </row>
    <row r="9" spans="1:6" x14ac:dyDescent="0.2">
      <c r="B9" s="9" t="s">
        <v>5595</v>
      </c>
      <c r="C9" s="15" t="s">
        <v>4447</v>
      </c>
      <c r="D9" s="12" t="str">
        <f>"1069-6563"</f>
        <v>1069-6563</v>
      </c>
      <c r="E9" s="5">
        <v>3.4510000000000001</v>
      </c>
      <c r="F9" s="5">
        <v>0.81299999999999994</v>
      </c>
    </row>
    <row r="10" spans="1:6" x14ac:dyDescent="0.2">
      <c r="B10" s="9" t="s">
        <v>5596</v>
      </c>
      <c r="C10" s="15" t="s">
        <v>4448</v>
      </c>
      <c r="D10" s="12" t="str">
        <f>"1040-2446"</f>
        <v>1040-2446</v>
      </c>
      <c r="E10" s="5">
        <v>6.8929999999999998</v>
      </c>
      <c r="F10" s="5">
        <v>1</v>
      </c>
    </row>
    <row r="11" spans="1:6" x14ac:dyDescent="0.2">
      <c r="B11" s="9" t="s">
        <v>7953</v>
      </c>
      <c r="C11" s="15" t="s">
        <v>7954</v>
      </c>
      <c r="D11" s="12" t="str">
        <f>"1876-2859"</f>
        <v>1876-2859</v>
      </c>
      <c r="E11" s="5">
        <v>3.1070000000000002</v>
      </c>
      <c r="F11" s="5">
        <v>0.76</v>
      </c>
    </row>
    <row r="12" spans="1:6" x14ac:dyDescent="0.2">
      <c r="B12" s="9" t="s">
        <v>3028</v>
      </c>
      <c r="C12" s="15" t="s">
        <v>3029</v>
      </c>
      <c r="D12" s="12" t="str">
        <f>"1545-7230"</f>
        <v>1545-7230</v>
      </c>
      <c r="E12" s="5">
        <v>3.2930000000000001</v>
      </c>
      <c r="F12" s="5">
        <v>0.76900000000000002</v>
      </c>
    </row>
    <row r="13" spans="1:6" x14ac:dyDescent="0.2">
      <c r="B13" s="9" t="s">
        <v>5597</v>
      </c>
      <c r="C13" s="15" t="s">
        <v>4449</v>
      </c>
      <c r="D13" s="12" t="str">
        <f>"1076-6332"</f>
        <v>1076-6332</v>
      </c>
      <c r="E13" s="5">
        <v>3.173</v>
      </c>
      <c r="F13" s="5">
        <v>0.58599999999999997</v>
      </c>
    </row>
    <row r="14" spans="1:6" x14ac:dyDescent="0.2">
      <c r="B14" s="9" t="s">
        <v>3030</v>
      </c>
      <c r="C14" s="15" t="s">
        <v>3031</v>
      </c>
      <c r="D14" s="12" t="str">
        <f>"0001-4575"</f>
        <v>0001-4575</v>
      </c>
      <c r="E14" s="5">
        <v>4.9930000000000003</v>
      </c>
      <c r="F14" s="5">
        <v>1</v>
      </c>
    </row>
    <row r="15" spans="1:6" x14ac:dyDescent="0.2">
      <c r="B15" s="9" t="s">
        <v>7955</v>
      </c>
      <c r="C15" s="15" t="s">
        <v>7956</v>
      </c>
      <c r="D15" s="12" t="str">
        <f>"0898-9621"</f>
        <v>0898-9621</v>
      </c>
      <c r="E15" s="5">
        <v>2.6219999999999999</v>
      </c>
      <c r="F15" s="5">
        <v>0.68799999999999994</v>
      </c>
    </row>
    <row r="16" spans="1:6" x14ac:dyDescent="0.2">
      <c r="B16" s="9" t="s">
        <v>5598</v>
      </c>
      <c r="C16" s="15" t="s">
        <v>4450</v>
      </c>
      <c r="D16" s="12" t="str">
        <f>"0001-4842"</f>
        <v>0001-4842</v>
      </c>
      <c r="E16" s="5">
        <v>22.384</v>
      </c>
      <c r="F16" s="5">
        <v>0.94899999999999995</v>
      </c>
    </row>
    <row r="17" spans="2:6" x14ac:dyDescent="0.2">
      <c r="B17" s="9" t="s">
        <v>5599</v>
      </c>
      <c r="C17" s="15" t="s">
        <v>4451</v>
      </c>
      <c r="D17" s="12" t="str">
        <f>"0949-1775"</f>
        <v>0949-1775</v>
      </c>
      <c r="E17" s="5">
        <v>0.65500000000000003</v>
      </c>
      <c r="F17" s="5">
        <v>7.8E-2</v>
      </c>
    </row>
    <row r="18" spans="2:6" x14ac:dyDescent="0.2">
      <c r="B18" s="9" t="s">
        <v>7957</v>
      </c>
      <c r="C18" s="15" t="s">
        <v>7958</v>
      </c>
      <c r="D18" s="12" t="str">
        <f>"1556-4673"</f>
        <v>1556-4673</v>
      </c>
      <c r="E18" s="5">
        <v>2.02</v>
      </c>
      <c r="F18" s="5">
        <v>0.30599999999999999</v>
      </c>
    </row>
    <row r="19" spans="2:6" x14ac:dyDescent="0.2">
      <c r="B19" s="9" t="s">
        <v>7959</v>
      </c>
      <c r="C19" s="15" t="s">
        <v>7960</v>
      </c>
      <c r="D19" s="12" t="str">
        <f>"1946-6226"</f>
        <v>1946-6226</v>
      </c>
      <c r="E19" s="5">
        <v>1.526</v>
      </c>
      <c r="F19" s="5">
        <v>0.30199999999999999</v>
      </c>
    </row>
    <row r="20" spans="2:6" x14ac:dyDescent="0.2">
      <c r="B20" s="9" t="s">
        <v>7961</v>
      </c>
      <c r="C20" s="15" t="s">
        <v>7962</v>
      </c>
      <c r="D20" s="12" t="str">
        <f>"1049-3301"</f>
        <v>1049-3301</v>
      </c>
      <c r="E20" s="5">
        <v>1.075</v>
      </c>
      <c r="F20" s="5">
        <v>0.35099999999999998</v>
      </c>
    </row>
    <row r="21" spans="2:6" x14ac:dyDescent="0.2">
      <c r="B21" s="9" t="s">
        <v>3032</v>
      </c>
      <c r="C21" s="15" t="s">
        <v>3033</v>
      </c>
      <c r="D21" s="12" t="str">
        <f>"0814-6039"</f>
        <v>0814-6039</v>
      </c>
      <c r="E21" s="5">
        <v>1.5</v>
      </c>
      <c r="F21" s="5">
        <v>0.32300000000000001</v>
      </c>
    </row>
    <row r="22" spans="2:6" x14ac:dyDescent="0.2">
      <c r="B22" s="9" t="s">
        <v>5600</v>
      </c>
      <c r="C22" s="15" t="s">
        <v>4452</v>
      </c>
      <c r="D22" s="12" t="str">
        <f>"1063-7710"</f>
        <v>1063-7710</v>
      </c>
      <c r="E22" s="5">
        <v>0.85599999999999998</v>
      </c>
      <c r="F22" s="5">
        <v>0.161</v>
      </c>
    </row>
    <row r="23" spans="2:6" x14ac:dyDescent="0.2">
      <c r="B23" s="9" t="s">
        <v>7963</v>
      </c>
      <c r="C23" s="15" t="s">
        <v>7964</v>
      </c>
      <c r="D23" s="12" t="str">
        <f>"2374-7943"</f>
        <v>2374-7943</v>
      </c>
      <c r="E23" s="5">
        <v>14.553000000000001</v>
      </c>
      <c r="F23" s="5">
        <v>0.91</v>
      </c>
    </row>
    <row r="24" spans="2:6" x14ac:dyDescent="0.2">
      <c r="B24" s="9" t="s">
        <v>5601</v>
      </c>
      <c r="C24" s="15" t="s">
        <v>4453</v>
      </c>
      <c r="D24" s="12" t="str">
        <f>"1554-8929"</f>
        <v>1554-8929</v>
      </c>
      <c r="E24" s="5">
        <v>5.0999999999999996</v>
      </c>
      <c r="F24" s="5">
        <v>0.70899999999999996</v>
      </c>
    </row>
    <row r="25" spans="2:6" x14ac:dyDescent="0.2">
      <c r="B25" s="9" t="s">
        <v>7965</v>
      </c>
      <c r="C25" s="15" t="s">
        <v>7966</v>
      </c>
      <c r="D25" s="12" t="str">
        <f>"1948-7193"</f>
        <v>1948-7193</v>
      </c>
      <c r="E25" s="5">
        <v>4.4180000000000001</v>
      </c>
      <c r="F25" s="5">
        <v>0.72599999999999998</v>
      </c>
    </row>
    <row r="26" spans="2:6" x14ac:dyDescent="0.2">
      <c r="B26" s="9" t="s">
        <v>7967</v>
      </c>
      <c r="C26" s="15" t="s">
        <v>7968</v>
      </c>
      <c r="D26" s="12" t="str">
        <f>"2156-8952"</f>
        <v>2156-8952</v>
      </c>
      <c r="E26" s="5">
        <v>3.7839999999999998</v>
      </c>
      <c r="F26" s="5">
        <v>0.71599999999999997</v>
      </c>
    </row>
    <row r="27" spans="2:6" x14ac:dyDescent="0.2">
      <c r="B27" s="9" t="s">
        <v>7969</v>
      </c>
      <c r="C27" s="15" t="s">
        <v>7970</v>
      </c>
      <c r="D27" s="12" t="str">
        <f>"2472-3452"</f>
        <v>2472-3452</v>
      </c>
      <c r="E27" s="5">
        <v>3.4750000000000001</v>
      </c>
      <c r="F27" s="5">
        <v>0.64800000000000002</v>
      </c>
    </row>
    <row r="28" spans="2:6" x14ac:dyDescent="0.2">
      <c r="B28" s="9" t="s">
        <v>7971</v>
      </c>
      <c r="C28" s="15" t="s">
        <v>7972</v>
      </c>
      <c r="D28" s="12" t="str">
        <f>"2373-8227"</f>
        <v>2373-8227</v>
      </c>
      <c r="E28" s="5">
        <v>5.0839999999999996</v>
      </c>
      <c r="F28" s="5">
        <v>0.80600000000000005</v>
      </c>
    </row>
    <row r="29" spans="2:6" x14ac:dyDescent="0.2">
      <c r="B29" s="9" t="s">
        <v>7973</v>
      </c>
      <c r="C29" s="15" t="s">
        <v>7974</v>
      </c>
      <c r="D29" s="12" t="str">
        <f>"1948-5875"</f>
        <v>1948-5875</v>
      </c>
      <c r="E29" s="5">
        <v>4.3449999999999998</v>
      </c>
      <c r="F29" s="5">
        <v>0.67700000000000005</v>
      </c>
    </row>
    <row r="30" spans="2:6" x14ac:dyDescent="0.2">
      <c r="B30" s="9" t="s">
        <v>5602</v>
      </c>
      <c r="C30" s="15" t="s">
        <v>4454</v>
      </c>
      <c r="D30" s="12" t="str">
        <f>"1091-5397"</f>
        <v>1091-5397</v>
      </c>
      <c r="E30" s="5">
        <v>1.3640000000000001</v>
      </c>
      <c r="F30" s="5">
        <v>0.13600000000000001</v>
      </c>
    </row>
    <row r="31" spans="2:6" x14ac:dyDescent="0.2">
      <c r="B31" s="9" t="s">
        <v>3034</v>
      </c>
      <c r="C31" s="15" t="s">
        <v>3035</v>
      </c>
      <c r="D31" s="12" t="str">
        <f>"1936-0851"</f>
        <v>1936-0851</v>
      </c>
      <c r="E31" s="5">
        <v>15.881</v>
      </c>
      <c r="F31" s="5">
        <v>0.94</v>
      </c>
    </row>
    <row r="32" spans="2:6" x14ac:dyDescent="0.2">
      <c r="B32" s="9" t="s">
        <v>7975</v>
      </c>
      <c r="C32" s="15" t="s">
        <v>7976</v>
      </c>
      <c r="D32" s="12" t="str">
        <f>"2470-1343"</f>
        <v>2470-1343</v>
      </c>
      <c r="E32" s="5">
        <v>3.512</v>
      </c>
      <c r="F32" s="5">
        <v>0.56699999999999995</v>
      </c>
    </row>
    <row r="33" spans="2:6" x14ac:dyDescent="0.2">
      <c r="B33" s="9" t="s">
        <v>7977</v>
      </c>
      <c r="C33" s="15" t="s">
        <v>7978</v>
      </c>
      <c r="D33" s="12" t="str">
        <f>"2330-4022"</f>
        <v>2330-4022</v>
      </c>
      <c r="E33" s="5">
        <v>7.5289999999999999</v>
      </c>
      <c r="F33" s="5">
        <v>0.90900000000000003</v>
      </c>
    </row>
    <row r="34" spans="2:6" x14ac:dyDescent="0.2">
      <c r="B34" s="9" t="s">
        <v>7979</v>
      </c>
      <c r="C34" s="15" t="s">
        <v>7980</v>
      </c>
      <c r="D34" s="12" t="str">
        <f>"2379-3694"</f>
        <v>2379-3694</v>
      </c>
      <c r="E34" s="5">
        <v>7.7110000000000003</v>
      </c>
      <c r="F34" s="5">
        <v>0.94</v>
      </c>
    </row>
    <row r="35" spans="2:6" x14ac:dyDescent="0.2">
      <c r="B35" s="9" t="s">
        <v>7981</v>
      </c>
      <c r="C35" s="15" t="s">
        <v>7982</v>
      </c>
      <c r="D35" s="12" t="str">
        <f>"2168-0485"</f>
        <v>2168-0485</v>
      </c>
      <c r="E35" s="5">
        <v>8.1980000000000004</v>
      </c>
      <c r="F35" s="5">
        <v>0.90900000000000003</v>
      </c>
    </row>
    <row r="36" spans="2:6" x14ac:dyDescent="0.2">
      <c r="B36" s="9" t="s">
        <v>7983</v>
      </c>
      <c r="C36" s="15" t="s">
        <v>7984</v>
      </c>
      <c r="D36" s="12" t="str">
        <f>"2161-5063"</f>
        <v>2161-5063</v>
      </c>
      <c r="E36" s="5">
        <v>5.1100000000000003</v>
      </c>
      <c r="F36" s="5">
        <v>0.89600000000000002</v>
      </c>
    </row>
    <row r="37" spans="2:6" x14ac:dyDescent="0.2">
      <c r="B37" s="9" t="s">
        <v>5603</v>
      </c>
      <c r="C37" s="15" t="s">
        <v>4455</v>
      </c>
      <c r="D37" s="12" t="str">
        <f>"1610-1928"</f>
        <v>1610-1928</v>
      </c>
      <c r="E37" s="5">
        <v>0.76200000000000001</v>
      </c>
      <c r="F37" s="5">
        <v>9.7000000000000003E-2</v>
      </c>
    </row>
    <row r="38" spans="2:6" x14ac:dyDescent="0.2">
      <c r="B38" s="9" t="s">
        <v>5604</v>
      </c>
      <c r="C38" s="15" t="s">
        <v>4456</v>
      </c>
      <c r="D38" s="12" t="str">
        <f>"0139-3006"</f>
        <v>0139-3006</v>
      </c>
      <c r="E38" s="5">
        <v>0.65</v>
      </c>
      <c r="F38" s="5">
        <v>0.114</v>
      </c>
    </row>
    <row r="39" spans="2:6" x14ac:dyDescent="0.2">
      <c r="B39" s="9" t="s">
        <v>5605</v>
      </c>
      <c r="C39" s="15" t="s">
        <v>4457</v>
      </c>
      <c r="D39" s="12" t="str">
        <f>"0001-5172"</f>
        <v>0001-5172</v>
      </c>
      <c r="E39" s="5">
        <v>2.105</v>
      </c>
      <c r="F39" s="5">
        <v>0.24199999999999999</v>
      </c>
    </row>
    <row r="40" spans="2:6" x14ac:dyDescent="0.2">
      <c r="B40" s="9" t="s">
        <v>5607</v>
      </c>
      <c r="C40" s="15" t="s">
        <v>4458</v>
      </c>
      <c r="D40" s="12" t="str">
        <f>"1672-9145"</f>
        <v>1672-9145</v>
      </c>
      <c r="E40" s="5">
        <v>3.8479999999999999</v>
      </c>
      <c r="F40" s="5">
        <v>0.69</v>
      </c>
    </row>
    <row r="41" spans="2:6" x14ac:dyDescent="0.2">
      <c r="B41" s="9" t="s">
        <v>5608</v>
      </c>
      <c r="C41" s="15" t="s">
        <v>4459</v>
      </c>
      <c r="D41" s="12" t="str">
        <f>"0001-527X"</f>
        <v>0001-527X</v>
      </c>
      <c r="E41" s="5">
        <v>2.149</v>
      </c>
      <c r="F41" s="5">
        <v>0.16900000000000001</v>
      </c>
    </row>
    <row r="42" spans="2:6" x14ac:dyDescent="0.2">
      <c r="B42" s="9" t="s">
        <v>7985</v>
      </c>
      <c r="C42" s="15" t="s">
        <v>7986</v>
      </c>
      <c r="D42" s="12" t="str">
        <f>"1509-409X"</f>
        <v>1509-409X</v>
      </c>
      <c r="E42" s="5">
        <v>1.073</v>
      </c>
      <c r="F42" s="5">
        <v>0.113</v>
      </c>
    </row>
    <row r="43" spans="2:6" x14ac:dyDescent="0.2">
      <c r="B43" s="9" t="s">
        <v>3036</v>
      </c>
      <c r="C43" s="15" t="s">
        <v>3037</v>
      </c>
      <c r="D43" s="12" t="str">
        <f>"1726-569X"</f>
        <v>1726-569X</v>
      </c>
      <c r="E43" s="5">
        <v>0.40799999999999997</v>
      </c>
      <c r="F43" s="5">
        <v>8.8999999999999996E-2</v>
      </c>
    </row>
    <row r="44" spans="2:6" x14ac:dyDescent="0.2">
      <c r="B44" s="9" t="s">
        <v>3038</v>
      </c>
      <c r="C44" s="15" t="s">
        <v>3039</v>
      </c>
      <c r="D44" s="12" t="str">
        <f>"1742-7061"</f>
        <v>1742-7061</v>
      </c>
      <c r="E44" s="5">
        <v>8.9469999999999992</v>
      </c>
      <c r="F44" s="5">
        <v>0.89700000000000002</v>
      </c>
    </row>
    <row r="45" spans="2:6" x14ac:dyDescent="0.2">
      <c r="B45" s="9" t="s">
        <v>7987</v>
      </c>
      <c r="C45" s="15" t="s">
        <v>7988</v>
      </c>
      <c r="D45" s="12" t="str">
        <f>"0325-2957"</f>
        <v>0325-2957</v>
      </c>
      <c r="E45" s="5">
        <v>0.128</v>
      </c>
      <c r="F45" s="5">
        <v>3.4000000000000002E-2</v>
      </c>
    </row>
    <row r="46" spans="2:6" x14ac:dyDescent="0.2">
      <c r="B46" s="9" t="s">
        <v>5609</v>
      </c>
      <c r="C46" s="15" t="s">
        <v>4460</v>
      </c>
      <c r="D46" s="12" t="str">
        <f>"0001-5342"</f>
        <v>0001-5342</v>
      </c>
      <c r="E46" s="5">
        <v>1.774</v>
      </c>
      <c r="F46" s="5">
        <v>0.29299999999999998</v>
      </c>
    </row>
    <row r="47" spans="2:6" x14ac:dyDescent="0.2">
      <c r="B47" s="9" t="s">
        <v>5610</v>
      </c>
      <c r="C47" s="15" t="s">
        <v>4461</v>
      </c>
      <c r="D47" s="12" t="str">
        <f>"0001-5385"</f>
        <v>0001-5385</v>
      </c>
      <c r="E47" s="5">
        <v>1.718</v>
      </c>
      <c r="F47" s="5">
        <v>0.14899999999999999</v>
      </c>
    </row>
    <row r="48" spans="2:6" x14ac:dyDescent="0.2">
      <c r="B48" s="9" t="s">
        <v>3040</v>
      </c>
      <c r="C48" s="15" t="s">
        <v>3041</v>
      </c>
      <c r="D48" s="12" t="str">
        <f>"1011-6842"</f>
        <v>1011-6842</v>
      </c>
      <c r="E48" s="5">
        <v>2.6720000000000002</v>
      </c>
      <c r="F48" s="5">
        <v>0.41099999999999998</v>
      </c>
    </row>
    <row r="49" spans="2:6" x14ac:dyDescent="0.2">
      <c r="B49" s="9" t="s">
        <v>5611</v>
      </c>
      <c r="C49" s="15" t="s">
        <v>4462</v>
      </c>
      <c r="D49" s="12" t="str">
        <f>"0567-7351"</f>
        <v>0567-7351</v>
      </c>
      <c r="E49" s="5">
        <v>2.6680000000000001</v>
      </c>
      <c r="F49" s="5">
        <v>0.433</v>
      </c>
    </row>
    <row r="50" spans="2:6" x14ac:dyDescent="0.2">
      <c r="B50" s="9" t="s">
        <v>5612</v>
      </c>
      <c r="C50" s="15" t="s">
        <v>4463</v>
      </c>
      <c r="D50" s="12" t="str">
        <f>"1318-0207"</f>
        <v>1318-0207</v>
      </c>
      <c r="E50" s="5">
        <v>1.7350000000000001</v>
      </c>
      <c r="F50" s="5">
        <v>0.29199999999999998</v>
      </c>
    </row>
    <row r="51" spans="2:6" x14ac:dyDescent="0.2">
      <c r="B51" s="9" t="s">
        <v>5613</v>
      </c>
      <c r="C51" s="15" t="s">
        <v>4464</v>
      </c>
      <c r="D51" s="12" t="str">
        <f>"0001-5458"</f>
        <v>0001-5458</v>
      </c>
      <c r="E51" s="5">
        <v>1.0900000000000001</v>
      </c>
      <c r="F51" s="5">
        <v>0.124</v>
      </c>
    </row>
    <row r="52" spans="2:6" x14ac:dyDescent="0.2">
      <c r="B52" s="9" t="s">
        <v>3042</v>
      </c>
      <c r="C52" s="15" t="s">
        <v>3043</v>
      </c>
      <c r="D52" s="12" t="str">
        <f>"0001-5415"</f>
        <v>0001-5415</v>
      </c>
      <c r="E52" s="5">
        <v>0.53100000000000003</v>
      </c>
      <c r="F52" s="5">
        <v>4.9000000000000002E-2</v>
      </c>
    </row>
    <row r="53" spans="2:6" x14ac:dyDescent="0.2">
      <c r="B53" s="9" t="s">
        <v>5615</v>
      </c>
      <c r="C53" s="15" t="s">
        <v>4465</v>
      </c>
      <c r="D53" s="12" t="str">
        <f>"1233-2356"</f>
        <v>1233-2356</v>
      </c>
      <c r="E53" s="5">
        <v>1.639</v>
      </c>
      <c r="F53" s="5">
        <v>0.157</v>
      </c>
    </row>
    <row r="54" spans="2:6" x14ac:dyDescent="0.2">
      <c r="B54" s="9" t="s">
        <v>3044</v>
      </c>
      <c r="C54" s="15" t="s">
        <v>3045</v>
      </c>
      <c r="D54" s="12" t="str">
        <f>"0102-8650"</f>
        <v>0102-8650</v>
      </c>
      <c r="E54" s="5">
        <v>1.3879999999999999</v>
      </c>
      <c r="F54" s="5">
        <v>0.17599999999999999</v>
      </c>
    </row>
    <row r="55" spans="2:6" x14ac:dyDescent="0.2">
      <c r="B55" s="9" t="s">
        <v>5616</v>
      </c>
      <c r="C55" s="15" t="s">
        <v>4466</v>
      </c>
      <c r="D55" s="12" t="str">
        <f>"1784-3286"</f>
        <v>1784-3286</v>
      </c>
      <c r="E55" s="5">
        <v>1.264</v>
      </c>
      <c r="F55" s="5">
        <v>0.26300000000000001</v>
      </c>
    </row>
    <row r="56" spans="2:6" x14ac:dyDescent="0.2">
      <c r="B56" s="9" t="s">
        <v>3046</v>
      </c>
      <c r="C56" s="15" t="s">
        <v>3047</v>
      </c>
      <c r="D56" s="12" t="str">
        <f>"0353-9466"</f>
        <v>0353-9466</v>
      </c>
      <c r="E56" s="5">
        <v>0.78</v>
      </c>
      <c r="F56" s="5">
        <v>0.14399999999999999</v>
      </c>
    </row>
    <row r="57" spans="2:6" x14ac:dyDescent="0.2">
      <c r="B57" s="9" t="s">
        <v>7989</v>
      </c>
      <c r="C57" s="15" t="s">
        <v>7990</v>
      </c>
      <c r="D57" s="12" t="str">
        <f>"2053-2733"</f>
        <v>2053-2733</v>
      </c>
      <c r="E57" s="5">
        <v>2.29</v>
      </c>
      <c r="F57" s="5">
        <v>0.56000000000000005</v>
      </c>
    </row>
    <row r="58" spans="2:6" x14ac:dyDescent="0.2">
      <c r="B58" s="9" t="s">
        <v>7991</v>
      </c>
      <c r="C58" s="15" t="s">
        <v>7992</v>
      </c>
      <c r="D58" s="12" t="str">
        <f>"2052-5206"</f>
        <v>2052-5206</v>
      </c>
      <c r="E58" s="5">
        <v>2.266</v>
      </c>
      <c r="F58" s="5">
        <v>0.52</v>
      </c>
    </row>
    <row r="59" spans="2:6" x14ac:dyDescent="0.2">
      <c r="B59" s="9" t="s">
        <v>7993</v>
      </c>
      <c r="C59" s="15" t="s">
        <v>7994</v>
      </c>
      <c r="D59" s="12" t="str">
        <f>"2053-2296"</f>
        <v>2053-2296</v>
      </c>
      <c r="E59" s="5">
        <v>1.1719999999999999</v>
      </c>
      <c r="F59" s="5">
        <v>0.28000000000000003</v>
      </c>
    </row>
    <row r="60" spans="2:6" x14ac:dyDescent="0.2">
      <c r="B60" s="9" t="s">
        <v>5617</v>
      </c>
      <c r="C60" s="15" t="s">
        <v>7995</v>
      </c>
      <c r="D60" s="12" t="str">
        <f>"2059-7983"</f>
        <v>2059-7983</v>
      </c>
      <c r="E60" s="5">
        <v>7.6520000000000001</v>
      </c>
      <c r="F60" s="5">
        <v>0.96</v>
      </c>
    </row>
    <row r="61" spans="2:6" x14ac:dyDescent="0.2">
      <c r="B61" s="9" t="s">
        <v>3048</v>
      </c>
      <c r="C61" s="15" t="s">
        <v>7996</v>
      </c>
      <c r="D61" s="12" t="str">
        <f>"2053-230X"</f>
        <v>2053-230X</v>
      </c>
      <c r="E61" s="5">
        <v>1.056</v>
      </c>
      <c r="F61" s="5">
        <v>0.24</v>
      </c>
    </row>
    <row r="62" spans="2:6" x14ac:dyDescent="0.2">
      <c r="B62" s="9" t="s">
        <v>5618</v>
      </c>
      <c r="C62" s="15" t="s">
        <v>4467</v>
      </c>
      <c r="D62" s="12" t="str">
        <f>"0001-5547"</f>
        <v>0001-5547</v>
      </c>
      <c r="E62" s="5">
        <v>2.319</v>
      </c>
      <c r="F62" s="5">
        <v>0.442</v>
      </c>
    </row>
    <row r="63" spans="2:6" x14ac:dyDescent="0.2">
      <c r="B63" s="9" t="s">
        <v>3049</v>
      </c>
      <c r="C63" s="15" t="s">
        <v>3050</v>
      </c>
      <c r="D63" s="12" t="str">
        <f>"1330-027X"</f>
        <v>1330-027X</v>
      </c>
      <c r="E63" s="5">
        <v>1.256</v>
      </c>
      <c r="F63" s="5">
        <v>0.10299999999999999</v>
      </c>
    </row>
    <row r="64" spans="2:6" x14ac:dyDescent="0.2">
      <c r="B64" s="9" t="s">
        <v>5620</v>
      </c>
      <c r="C64" s="15" t="s">
        <v>4468</v>
      </c>
      <c r="D64" s="12" t="str">
        <f>"0001-5555"</f>
        <v>0001-5555</v>
      </c>
      <c r="E64" s="5">
        <v>4.4370000000000003</v>
      </c>
      <c r="F64" s="5">
        <v>0.79400000000000004</v>
      </c>
    </row>
    <row r="65" spans="2:6" x14ac:dyDescent="0.2">
      <c r="B65" s="9" t="s">
        <v>5621</v>
      </c>
      <c r="C65" s="15" t="s">
        <v>4469</v>
      </c>
      <c r="D65" s="12" t="str">
        <f>"0940-5429"</f>
        <v>0940-5429</v>
      </c>
      <c r="E65" s="5">
        <v>4.28</v>
      </c>
      <c r="F65" s="5">
        <v>0.57899999999999996</v>
      </c>
    </row>
    <row r="66" spans="2:6" x14ac:dyDescent="0.2">
      <c r="B66" s="9" t="s">
        <v>3051</v>
      </c>
      <c r="C66" s="15" t="s">
        <v>3052</v>
      </c>
      <c r="D66" s="12" t="str">
        <f>"1841-0987"</f>
        <v>1841-0987</v>
      </c>
      <c r="E66" s="5">
        <v>0.877</v>
      </c>
      <c r="F66" s="5">
        <v>5.5E-2</v>
      </c>
    </row>
    <row r="67" spans="2:6" x14ac:dyDescent="0.2">
      <c r="B67" s="9" t="s">
        <v>5622</v>
      </c>
      <c r="C67" s="15" t="s">
        <v>4470</v>
      </c>
      <c r="D67" s="12" t="str">
        <f>"1784-3227"</f>
        <v>1784-3227</v>
      </c>
      <c r="E67" s="5">
        <v>1.3160000000000001</v>
      </c>
      <c r="F67" s="5">
        <v>3.3000000000000002E-2</v>
      </c>
    </row>
    <row r="68" spans="2:6" x14ac:dyDescent="0.2">
      <c r="B68" s="9" t="s">
        <v>5623</v>
      </c>
      <c r="C68" s="15" t="s">
        <v>4471</v>
      </c>
      <c r="D68" s="12" t="str">
        <f>"0001-5792"</f>
        <v>0001-5792</v>
      </c>
      <c r="E68" s="5">
        <v>2.1949999999999998</v>
      </c>
      <c r="F68" s="5">
        <v>0.21099999999999999</v>
      </c>
    </row>
    <row r="69" spans="2:6" x14ac:dyDescent="0.2">
      <c r="B69" s="9" t="s">
        <v>5624</v>
      </c>
      <c r="C69" s="15" t="s">
        <v>4472</v>
      </c>
      <c r="D69" s="12" t="str">
        <f>"0065-1281"</f>
        <v>0065-1281</v>
      </c>
      <c r="E69" s="5">
        <v>2.4790000000000001</v>
      </c>
      <c r="F69" s="5">
        <v>0.21199999999999999</v>
      </c>
    </row>
    <row r="70" spans="2:6" x14ac:dyDescent="0.2">
      <c r="B70" s="9" t="s">
        <v>5625</v>
      </c>
      <c r="C70" s="15" t="s">
        <v>4473</v>
      </c>
      <c r="D70" s="12" t="str">
        <f>"0044-5991"</f>
        <v>0044-5991</v>
      </c>
      <c r="E70" s="5">
        <v>1.9379999999999999</v>
      </c>
      <c r="F70" s="5">
        <v>0.104</v>
      </c>
    </row>
    <row r="71" spans="2:6" x14ac:dyDescent="0.2">
      <c r="B71" s="9" t="s">
        <v>3053</v>
      </c>
      <c r="C71" s="15" t="s">
        <v>4474</v>
      </c>
      <c r="D71" s="12" t="str">
        <f>"0567-7718"</f>
        <v>0567-7718</v>
      </c>
      <c r="E71" s="5">
        <v>1.9750000000000001</v>
      </c>
      <c r="F71" s="5">
        <v>0.40600000000000003</v>
      </c>
    </row>
    <row r="72" spans="2:6" x14ac:dyDescent="0.2">
      <c r="B72" s="9" t="s">
        <v>3054</v>
      </c>
      <c r="C72" s="15" t="s">
        <v>3055</v>
      </c>
      <c r="D72" s="12" t="str">
        <f>"0393-6384"</f>
        <v>0393-6384</v>
      </c>
      <c r="E72" s="5">
        <v>0.219</v>
      </c>
      <c r="F72" s="5">
        <v>3.5999999999999997E-2</v>
      </c>
    </row>
    <row r="73" spans="2:6" x14ac:dyDescent="0.2">
      <c r="B73" s="9" t="s">
        <v>7997</v>
      </c>
      <c r="C73" s="15" t="s">
        <v>7998</v>
      </c>
      <c r="D73" s="12" t="str">
        <f>"1646-0758"</f>
        <v>1646-0758</v>
      </c>
      <c r="E73" s="5">
        <v>1.141</v>
      </c>
      <c r="F73" s="5">
        <v>0.23400000000000001</v>
      </c>
    </row>
    <row r="74" spans="2:6" x14ac:dyDescent="0.2">
      <c r="B74" s="9" t="s">
        <v>5626</v>
      </c>
      <c r="C74" s="15" t="s">
        <v>4475</v>
      </c>
      <c r="D74" s="12" t="str">
        <f>"0386-300X"</f>
        <v>0386-300X</v>
      </c>
      <c r="E74" s="5">
        <v>0.89200000000000002</v>
      </c>
      <c r="F74" s="5">
        <v>7.0999999999999994E-2</v>
      </c>
    </row>
    <row r="75" spans="2:6" x14ac:dyDescent="0.2">
      <c r="B75" s="9" t="s">
        <v>7999</v>
      </c>
      <c r="C75" s="15" t="s">
        <v>8000</v>
      </c>
      <c r="D75" s="12" t="str">
        <f>"1217-8950"</f>
        <v>1217-8950</v>
      </c>
      <c r="E75" s="5">
        <v>2.048</v>
      </c>
      <c r="F75" s="5">
        <v>0.13300000000000001</v>
      </c>
    </row>
    <row r="76" spans="2:6" x14ac:dyDescent="0.2">
      <c r="B76" s="9" t="s">
        <v>8001</v>
      </c>
      <c r="C76" s="15" t="s">
        <v>8002</v>
      </c>
      <c r="D76" s="12" t="str">
        <f>"2075-8251"</f>
        <v>2075-8251</v>
      </c>
      <c r="E76" s="5">
        <v>1.845</v>
      </c>
      <c r="F76" s="5">
        <v>9.2999999999999999E-2</v>
      </c>
    </row>
    <row r="77" spans="2:6" x14ac:dyDescent="0.2">
      <c r="B77" s="9" t="s">
        <v>5627</v>
      </c>
      <c r="C77" s="15" t="s">
        <v>4476</v>
      </c>
      <c r="D77" s="12" t="str">
        <f>"0065-1400"</f>
        <v>0065-1400</v>
      </c>
      <c r="E77" s="5">
        <v>1.579</v>
      </c>
      <c r="F77" s="5">
        <v>8.4000000000000005E-2</v>
      </c>
    </row>
    <row r="78" spans="2:6" x14ac:dyDescent="0.2">
      <c r="B78" s="9" t="s">
        <v>5628</v>
      </c>
      <c r="C78" s="15" t="s">
        <v>4477</v>
      </c>
      <c r="D78" s="12" t="str">
        <f>"0001-6268"</f>
        <v>0001-6268</v>
      </c>
      <c r="E78" s="5">
        <v>2.2160000000000002</v>
      </c>
      <c r="F78" s="5">
        <v>0.438</v>
      </c>
    </row>
    <row r="79" spans="2:6" x14ac:dyDescent="0.2">
      <c r="B79" s="9" t="s">
        <v>5629</v>
      </c>
      <c r="C79" s="15" t="s">
        <v>4478</v>
      </c>
      <c r="D79" s="12" t="str">
        <f>"0300-9009"</f>
        <v>0300-9009</v>
      </c>
      <c r="E79" s="5">
        <v>2.3959999999999999</v>
      </c>
      <c r="F79" s="5">
        <v>0.28799999999999998</v>
      </c>
    </row>
    <row r="80" spans="2:6" x14ac:dyDescent="0.2">
      <c r="B80" s="9" t="s">
        <v>5630</v>
      </c>
      <c r="C80" s="15" t="s">
        <v>4479</v>
      </c>
      <c r="D80" s="12" t="str">
        <f>"0001-6314"</f>
        <v>0001-6314</v>
      </c>
      <c r="E80" s="5">
        <v>3.2090000000000001</v>
      </c>
      <c r="F80" s="5">
        <v>0.48599999999999999</v>
      </c>
    </row>
    <row r="81" spans="2:6" x14ac:dyDescent="0.2">
      <c r="B81" s="9" t="s">
        <v>5631</v>
      </c>
      <c r="C81" s="15" t="s">
        <v>4480</v>
      </c>
      <c r="D81" s="12" t="str">
        <f>"0001-6322"</f>
        <v>0001-6322</v>
      </c>
      <c r="E81" s="5">
        <v>17.088000000000001</v>
      </c>
      <c r="F81" s="5">
        <v>0.98699999999999999</v>
      </c>
    </row>
    <row r="82" spans="2:6" x14ac:dyDescent="0.2">
      <c r="B82" s="9" t="s">
        <v>8003</v>
      </c>
      <c r="C82" s="15" t="s">
        <v>8004</v>
      </c>
      <c r="D82" s="12" t="str">
        <f>"2051-5960"</f>
        <v>2051-5960</v>
      </c>
      <c r="E82" s="5">
        <v>7.8010000000000002</v>
      </c>
      <c r="F82" s="5">
        <v>0.90100000000000002</v>
      </c>
    </row>
    <row r="83" spans="2:6" x14ac:dyDescent="0.2">
      <c r="B83" s="9" t="s">
        <v>5632</v>
      </c>
      <c r="C83" s="15" t="s">
        <v>4481</v>
      </c>
      <c r="D83" s="12" t="str">
        <f>"1601-5215"</f>
        <v>1601-5215</v>
      </c>
      <c r="E83" s="5">
        <v>3.403</v>
      </c>
      <c r="F83" s="5">
        <v>0.59299999999999997</v>
      </c>
    </row>
    <row r="84" spans="2:6" x14ac:dyDescent="0.2">
      <c r="B84" s="9" t="s">
        <v>5634</v>
      </c>
      <c r="C84" s="15" t="s">
        <v>4482</v>
      </c>
      <c r="D84" s="12" t="str">
        <f>"0001-6349"</f>
        <v>0001-6349</v>
      </c>
      <c r="E84" s="5">
        <v>3.6360000000000001</v>
      </c>
      <c r="F84" s="5">
        <v>0.78300000000000003</v>
      </c>
    </row>
    <row r="85" spans="2:6" x14ac:dyDescent="0.2">
      <c r="B85" s="9" t="s">
        <v>5635</v>
      </c>
      <c r="C85" s="15" t="s">
        <v>4483</v>
      </c>
      <c r="D85" s="12" t="str">
        <f>"0001-6357"</f>
        <v>0001-6357</v>
      </c>
      <c r="E85" s="5">
        <v>2.331</v>
      </c>
      <c r="F85" s="5">
        <v>0.42899999999999999</v>
      </c>
    </row>
    <row r="86" spans="2:6" x14ac:dyDescent="0.2">
      <c r="B86" s="9" t="s">
        <v>5636</v>
      </c>
      <c r="C86" s="15" t="s">
        <v>4484</v>
      </c>
      <c r="D86" s="12" t="str">
        <f>"0284-186X"</f>
        <v>0284-186X</v>
      </c>
      <c r="E86" s="5">
        <v>4.0890000000000004</v>
      </c>
      <c r="F86" s="5">
        <v>0.49</v>
      </c>
    </row>
    <row r="87" spans="2:6" x14ac:dyDescent="0.2">
      <c r="B87" s="9" t="s">
        <v>3056</v>
      </c>
      <c r="C87" s="15" t="s">
        <v>3057</v>
      </c>
      <c r="D87" s="12" t="str">
        <f>"1755-375X"</f>
        <v>1755-375X</v>
      </c>
      <c r="E87" s="5">
        <v>3.7610000000000001</v>
      </c>
      <c r="F87" s="5">
        <v>0.80600000000000005</v>
      </c>
    </row>
    <row r="88" spans="2:6" x14ac:dyDescent="0.2">
      <c r="B88" s="9" t="s">
        <v>5638</v>
      </c>
      <c r="C88" s="15" t="s">
        <v>4485</v>
      </c>
      <c r="D88" s="12" t="str">
        <f>"1745-3674"</f>
        <v>1745-3674</v>
      </c>
      <c r="E88" s="5">
        <v>3.7170000000000001</v>
      </c>
      <c r="F88" s="5">
        <v>0.80200000000000005</v>
      </c>
    </row>
    <row r="89" spans="2:6" x14ac:dyDescent="0.2">
      <c r="B89" s="9" t="s">
        <v>3058</v>
      </c>
      <c r="C89" s="15" t="s">
        <v>3059</v>
      </c>
      <c r="D89" s="12" t="str">
        <f>"0001-6462"</f>
        <v>0001-6462</v>
      </c>
      <c r="E89" s="5">
        <v>0.5</v>
      </c>
      <c r="F89" s="5">
        <v>1.2E-2</v>
      </c>
    </row>
    <row r="90" spans="2:6" x14ac:dyDescent="0.2">
      <c r="B90" s="9" t="s">
        <v>8005</v>
      </c>
      <c r="C90" s="15" t="s">
        <v>8006</v>
      </c>
      <c r="D90" s="12" t="str">
        <f>"1017-995X"</f>
        <v>1017-995X</v>
      </c>
      <c r="E90" s="5">
        <v>1.5109999999999999</v>
      </c>
      <c r="F90" s="5">
        <v>0.247</v>
      </c>
    </row>
    <row r="91" spans="2:6" x14ac:dyDescent="0.2">
      <c r="B91" s="9" t="s">
        <v>8007</v>
      </c>
      <c r="C91" s="15" t="s">
        <v>8008</v>
      </c>
      <c r="D91" s="12" t="str">
        <f>"1413-7852"</f>
        <v>1413-7852</v>
      </c>
      <c r="E91" s="5">
        <v>0.51300000000000001</v>
      </c>
      <c r="F91" s="5">
        <v>2.5000000000000001E-2</v>
      </c>
    </row>
    <row r="92" spans="2:6" x14ac:dyDescent="0.2">
      <c r="B92" s="9" t="s">
        <v>5640</v>
      </c>
      <c r="C92" s="15" t="s">
        <v>4486</v>
      </c>
      <c r="D92" s="12" t="str">
        <f>"0001-6489"</f>
        <v>0001-6489</v>
      </c>
      <c r="E92" s="5">
        <v>1.494</v>
      </c>
      <c r="F92" s="5">
        <v>0.22700000000000001</v>
      </c>
    </row>
    <row r="93" spans="2:6" x14ac:dyDescent="0.2">
      <c r="B93" s="9" t="s">
        <v>8009</v>
      </c>
      <c r="C93" s="15" t="s">
        <v>8010</v>
      </c>
      <c r="D93" s="12" t="str">
        <f>"0392-100X"</f>
        <v>0392-100X</v>
      </c>
      <c r="E93" s="5">
        <v>2.1240000000000001</v>
      </c>
      <c r="F93" s="5">
        <v>0.54500000000000004</v>
      </c>
    </row>
    <row r="94" spans="2:6" x14ac:dyDescent="0.2">
      <c r="B94" s="9" t="s">
        <v>5641</v>
      </c>
      <c r="C94" s="15" t="s">
        <v>4487</v>
      </c>
      <c r="D94" s="12" t="str">
        <f>"0803-5253"</f>
        <v>0803-5253</v>
      </c>
      <c r="E94" s="5">
        <v>2.2989999999999999</v>
      </c>
      <c r="F94" s="5">
        <v>0.54300000000000004</v>
      </c>
    </row>
    <row r="95" spans="2:6" x14ac:dyDescent="0.2">
      <c r="B95" s="9" t="s">
        <v>5643</v>
      </c>
      <c r="C95" s="15" t="s">
        <v>4488</v>
      </c>
      <c r="D95" s="12" t="str">
        <f>"1230-2821"</f>
        <v>1230-2821</v>
      </c>
      <c r="E95" s="5">
        <v>1.44</v>
      </c>
      <c r="F95" s="5">
        <v>0.49399999999999999</v>
      </c>
    </row>
    <row r="96" spans="2:6" x14ac:dyDescent="0.2">
      <c r="B96" s="9" t="s">
        <v>8011</v>
      </c>
      <c r="C96" s="15" t="s">
        <v>8012</v>
      </c>
      <c r="D96" s="12" t="str">
        <f>"0103-2100"</f>
        <v>0103-2100</v>
      </c>
      <c r="E96" s="5">
        <v>0.66700000000000004</v>
      </c>
      <c r="F96" s="5">
        <v>3.2000000000000001E-2</v>
      </c>
    </row>
    <row r="97" spans="2:6" x14ac:dyDescent="0.2">
      <c r="B97" s="9" t="s">
        <v>8013</v>
      </c>
      <c r="C97" s="15" t="s">
        <v>8014</v>
      </c>
      <c r="D97" s="12" t="str">
        <f>"1330-0075"</f>
        <v>1330-0075</v>
      </c>
      <c r="E97" s="5">
        <v>2.23</v>
      </c>
      <c r="F97" s="5">
        <v>0.23599999999999999</v>
      </c>
    </row>
    <row r="98" spans="2:6" x14ac:dyDescent="0.2">
      <c r="B98" s="9" t="s">
        <v>5645</v>
      </c>
      <c r="C98" s="15" t="s">
        <v>4489</v>
      </c>
      <c r="D98" s="12" t="str">
        <f>"1671-4083"</f>
        <v>1671-4083</v>
      </c>
      <c r="E98" s="5">
        <v>6.15</v>
      </c>
      <c r="F98" s="5">
        <v>0.89100000000000001</v>
      </c>
    </row>
    <row r="99" spans="2:6" x14ac:dyDescent="0.2">
      <c r="B99" s="9" t="s">
        <v>8015</v>
      </c>
      <c r="C99" s="15" t="s">
        <v>8016</v>
      </c>
      <c r="D99" s="12" t="str">
        <f>"2211-3835"</f>
        <v>2211-3835</v>
      </c>
      <c r="E99" s="5">
        <v>11.413</v>
      </c>
      <c r="F99" s="5">
        <v>0.97099999999999997</v>
      </c>
    </row>
    <row r="100" spans="2:6" x14ac:dyDescent="0.2">
      <c r="B100" s="9" t="s">
        <v>5646</v>
      </c>
      <c r="C100" s="15" t="s">
        <v>4490</v>
      </c>
      <c r="D100" s="12" t="str">
        <f>"1748-1708"</f>
        <v>1748-1708</v>
      </c>
      <c r="E100" s="5">
        <v>6.3109999999999999</v>
      </c>
      <c r="F100" s="5">
        <v>0.91400000000000003</v>
      </c>
    </row>
    <row r="101" spans="2:6" x14ac:dyDescent="0.2">
      <c r="B101" s="9" t="s">
        <v>3060</v>
      </c>
      <c r="C101" s="15" t="s">
        <v>3061</v>
      </c>
      <c r="D101" s="12" t="str">
        <f>"0001-6837"</f>
        <v>0001-6837</v>
      </c>
      <c r="E101" s="5">
        <v>0.33</v>
      </c>
      <c r="F101" s="5">
        <v>1.7999999999999999E-2</v>
      </c>
    </row>
    <row r="102" spans="2:6" x14ac:dyDescent="0.2">
      <c r="B102" s="9" t="s">
        <v>5648</v>
      </c>
      <c r="C102" s="15" t="s">
        <v>4491</v>
      </c>
      <c r="D102" s="12" t="str">
        <f>"0065-1583"</f>
        <v>0065-1583</v>
      </c>
      <c r="E102" s="5">
        <v>0.89200000000000002</v>
      </c>
      <c r="F102" s="5">
        <v>5.1999999999999998E-2</v>
      </c>
    </row>
    <row r="103" spans="2:6" x14ac:dyDescent="0.2">
      <c r="B103" s="9" t="s">
        <v>5649</v>
      </c>
      <c r="C103" s="15" t="s">
        <v>4492</v>
      </c>
      <c r="D103" s="12" t="str">
        <f>"0001-690X"</f>
        <v>0001-690X</v>
      </c>
      <c r="E103" s="5">
        <v>6.3920000000000003</v>
      </c>
      <c r="F103" s="5">
        <v>0.88900000000000001</v>
      </c>
    </row>
    <row r="104" spans="2:6" x14ac:dyDescent="0.2">
      <c r="B104" s="9" t="s">
        <v>3062</v>
      </c>
      <c r="C104" s="15" t="s">
        <v>3063</v>
      </c>
      <c r="D104" s="12" t="str">
        <f>"0001-6918"</f>
        <v>0001-6918</v>
      </c>
      <c r="E104" s="5">
        <v>1.734</v>
      </c>
      <c r="F104" s="5">
        <v>0.21099999999999999</v>
      </c>
    </row>
    <row r="105" spans="2:6" x14ac:dyDescent="0.2">
      <c r="B105" s="9" t="s">
        <v>5650</v>
      </c>
      <c r="C105" s="15" t="s">
        <v>4493</v>
      </c>
      <c r="D105" s="12" t="str">
        <f>"0284-1851"</f>
        <v>0284-1851</v>
      </c>
      <c r="E105" s="5">
        <v>1.99</v>
      </c>
      <c r="F105" s="5">
        <v>0.27100000000000002</v>
      </c>
    </row>
    <row r="106" spans="2:6" x14ac:dyDescent="0.2">
      <c r="B106" s="9" t="s">
        <v>3064</v>
      </c>
      <c r="C106" s="15" t="s">
        <v>3065</v>
      </c>
      <c r="D106" s="12" t="str">
        <f>"0303-464X"</f>
        <v>0303-464X</v>
      </c>
      <c r="E106" s="5">
        <v>1.29</v>
      </c>
      <c r="F106" s="5">
        <v>5.8999999999999997E-2</v>
      </c>
    </row>
    <row r="107" spans="2:6" x14ac:dyDescent="0.2">
      <c r="B107" s="9" t="s">
        <v>3066</v>
      </c>
      <c r="C107" s="15" t="s">
        <v>3067</v>
      </c>
      <c r="D107" s="12" t="str">
        <f>"1806-2563"</f>
        <v>1806-2563</v>
      </c>
      <c r="E107" s="5">
        <v>0.55000000000000004</v>
      </c>
      <c r="F107" s="5">
        <v>9.7000000000000003E-2</v>
      </c>
    </row>
    <row r="108" spans="2:6" x14ac:dyDescent="0.2">
      <c r="B108" s="9" t="s">
        <v>8017</v>
      </c>
      <c r="C108" s="15" t="s">
        <v>8018</v>
      </c>
      <c r="D108" s="12" t="str">
        <f>"1678-0345"</f>
        <v>1678-0345</v>
      </c>
      <c r="E108" s="5">
        <v>0.33700000000000002</v>
      </c>
      <c r="F108" s="5">
        <v>7.4999999999999997E-2</v>
      </c>
    </row>
    <row r="109" spans="2:6" x14ac:dyDescent="0.2">
      <c r="B109" s="9" t="s">
        <v>5658</v>
      </c>
      <c r="C109" s="15" t="s">
        <v>5721</v>
      </c>
      <c r="D109" s="12" t="str">
        <f>"1139-9287"</f>
        <v>1139-9287</v>
      </c>
      <c r="E109" s="5">
        <v>1.196</v>
      </c>
      <c r="F109" s="5">
        <v>0.14399999999999999</v>
      </c>
    </row>
    <row r="110" spans="2:6" x14ac:dyDescent="0.2">
      <c r="B110" s="9" t="s">
        <v>8019</v>
      </c>
      <c r="C110" s="15" t="s">
        <v>8020</v>
      </c>
      <c r="D110" s="12" t="str">
        <f>"0210-4806"</f>
        <v>0210-4806</v>
      </c>
      <c r="E110" s="5">
        <v>0.99399999999999999</v>
      </c>
      <c r="F110" s="5">
        <v>0.112</v>
      </c>
    </row>
    <row r="111" spans="2:6" x14ac:dyDescent="0.2">
      <c r="B111" s="9" t="s">
        <v>5651</v>
      </c>
      <c r="C111" s="15" t="s">
        <v>4494</v>
      </c>
      <c r="D111" s="12" t="str">
        <f>"0001-706X"</f>
        <v>0001-706X</v>
      </c>
      <c r="E111" s="5">
        <v>3.1120000000000001</v>
      </c>
      <c r="F111" s="5">
        <v>0.87</v>
      </c>
    </row>
    <row r="112" spans="2:6" x14ac:dyDescent="0.2">
      <c r="B112" s="9" t="s">
        <v>5655</v>
      </c>
      <c r="C112" s="15" t="s">
        <v>5719</v>
      </c>
      <c r="D112" s="12" t="str">
        <f>"0567-8315"</f>
        <v>0567-8315</v>
      </c>
      <c r="E112" s="5">
        <v>0.8</v>
      </c>
      <c r="F112" s="5">
        <v>0.27400000000000002</v>
      </c>
    </row>
    <row r="113" spans="2:6" x14ac:dyDescent="0.2">
      <c r="B113" s="9" t="s">
        <v>5652</v>
      </c>
      <c r="C113" s="15" t="s">
        <v>4495</v>
      </c>
      <c r="D113" s="12" t="str">
        <f>"0001-7213"</f>
        <v>0001-7213</v>
      </c>
      <c r="E113" s="5">
        <v>0.66700000000000004</v>
      </c>
      <c r="F113" s="5">
        <v>0.24</v>
      </c>
    </row>
    <row r="114" spans="2:6" x14ac:dyDescent="0.2">
      <c r="B114" s="9" t="s">
        <v>5653</v>
      </c>
      <c r="C114" s="15" t="s">
        <v>4496</v>
      </c>
      <c r="D114" s="12" t="str">
        <f>"0236-6290"</f>
        <v>0236-6290</v>
      </c>
      <c r="E114" s="5">
        <v>0.95499999999999996</v>
      </c>
      <c r="F114" s="5">
        <v>0.315</v>
      </c>
    </row>
    <row r="115" spans="2:6" x14ac:dyDescent="0.2">
      <c r="B115" s="9" t="s">
        <v>5654</v>
      </c>
      <c r="C115" s="15" t="s">
        <v>4497</v>
      </c>
      <c r="D115" s="12" t="str">
        <f>"1751-0147"</f>
        <v>1751-0147</v>
      </c>
      <c r="E115" s="5">
        <v>1.6950000000000001</v>
      </c>
      <c r="F115" s="5">
        <v>0.61</v>
      </c>
    </row>
    <row r="116" spans="2:6" x14ac:dyDescent="0.2">
      <c r="B116" s="9" t="s">
        <v>5656</v>
      </c>
      <c r="C116" s="15" t="s">
        <v>5720</v>
      </c>
      <c r="D116" s="12" t="str">
        <f>"0001-723X"</f>
        <v>0001-723X</v>
      </c>
      <c r="E116" s="5">
        <v>1.1619999999999999</v>
      </c>
      <c r="F116" s="5">
        <v>5.6000000000000001E-2</v>
      </c>
    </row>
    <row r="117" spans="2:6" x14ac:dyDescent="0.2">
      <c r="B117" s="9" t="s">
        <v>8021</v>
      </c>
      <c r="C117" s="15" t="s">
        <v>8022</v>
      </c>
      <c r="D117" s="12" t="str">
        <f>"0001-7272"</f>
        <v>0001-7272</v>
      </c>
      <c r="E117" s="5">
        <v>1.2609999999999999</v>
      </c>
      <c r="F117" s="5">
        <v>0.40200000000000002</v>
      </c>
    </row>
    <row r="118" spans="2:6" x14ac:dyDescent="0.2">
      <c r="B118" s="9" t="s">
        <v>3068</v>
      </c>
      <c r="C118" s="15" t="s">
        <v>3069</v>
      </c>
      <c r="D118" s="12" t="str">
        <f>"0335-5322"</f>
        <v>0335-5322</v>
      </c>
      <c r="E118" s="5">
        <v>0.42899999999999999</v>
      </c>
      <c r="F118" s="5">
        <v>0.11</v>
      </c>
    </row>
    <row r="119" spans="2:6" x14ac:dyDescent="0.2">
      <c r="B119" s="9" t="s">
        <v>8023</v>
      </c>
      <c r="C119" s="15" t="s">
        <v>8024</v>
      </c>
      <c r="D119" s="12" t="str">
        <f>"1476-7503"</f>
        <v>1476-7503</v>
      </c>
      <c r="E119" s="5">
        <v>2.1019999999999999</v>
      </c>
      <c r="F119" s="5">
        <v>0.55000000000000004</v>
      </c>
    </row>
    <row r="120" spans="2:6" x14ac:dyDescent="0.2">
      <c r="B120" s="9" t="s">
        <v>8025</v>
      </c>
      <c r="C120" s="15" t="s">
        <v>8026</v>
      </c>
      <c r="D120" s="12" t="str">
        <f>"2076-0825"</f>
        <v>2076-0825</v>
      </c>
      <c r="E120" s="5">
        <v>1.994</v>
      </c>
      <c r="F120" s="5">
        <v>0.438</v>
      </c>
    </row>
    <row r="121" spans="2:6" x14ac:dyDescent="0.2">
      <c r="B121" s="9" t="s">
        <v>8027</v>
      </c>
      <c r="C121" s="15" t="s">
        <v>8028</v>
      </c>
      <c r="D121" s="12" t="str">
        <f>"1759-9873"</f>
        <v>1759-9873</v>
      </c>
      <c r="E121" s="5">
        <v>2.2669999999999999</v>
      </c>
      <c r="F121" s="5">
        <v>0.42899999999999999</v>
      </c>
    </row>
    <row r="122" spans="2:6" x14ac:dyDescent="0.2">
      <c r="B122" s="9" t="s">
        <v>5659</v>
      </c>
      <c r="C122" s="15" t="s">
        <v>5722</v>
      </c>
      <c r="D122" s="12" t="str">
        <f>"0360-1293"</f>
        <v>0360-1293</v>
      </c>
      <c r="E122" s="5">
        <v>0.14299999999999999</v>
      </c>
      <c r="F122" s="5">
        <v>3.5999999999999997E-2</v>
      </c>
    </row>
    <row r="123" spans="2:6" x14ac:dyDescent="0.2">
      <c r="B123" s="9" t="s">
        <v>3070</v>
      </c>
      <c r="C123" s="15" t="s">
        <v>3071</v>
      </c>
      <c r="D123" s="12" t="str">
        <f>"1059-7123"</f>
        <v>1059-7123</v>
      </c>
      <c r="E123" s="5">
        <v>1.9419999999999999</v>
      </c>
      <c r="F123" s="5">
        <v>0.495</v>
      </c>
    </row>
    <row r="124" spans="2:6" x14ac:dyDescent="0.2">
      <c r="B124" s="9" t="s">
        <v>5660</v>
      </c>
      <c r="C124" s="15" t="s">
        <v>5723</v>
      </c>
      <c r="D124" s="12" t="str">
        <f>"0736-5829"</f>
        <v>0736-5829</v>
      </c>
      <c r="E124" s="5">
        <v>2.9289999999999998</v>
      </c>
      <c r="F124" s="5">
        <v>0.79800000000000004</v>
      </c>
    </row>
    <row r="125" spans="2:6" x14ac:dyDescent="0.2">
      <c r="B125" s="9" t="s">
        <v>3072</v>
      </c>
      <c r="C125" s="15" t="s">
        <v>3073</v>
      </c>
      <c r="D125" s="12" t="str">
        <f>"0306-4603"</f>
        <v>0306-4603</v>
      </c>
      <c r="E125" s="5">
        <v>3.9129999999999998</v>
      </c>
      <c r="F125" s="5">
        <v>0.80500000000000005</v>
      </c>
    </row>
    <row r="126" spans="2:6" x14ac:dyDescent="0.2">
      <c r="B126" s="9" t="s">
        <v>5661</v>
      </c>
      <c r="C126" s="15" t="s">
        <v>5724</v>
      </c>
      <c r="D126" s="12" t="str">
        <f>"1355-6215"</f>
        <v>1355-6215</v>
      </c>
      <c r="E126" s="5">
        <v>4.28</v>
      </c>
      <c r="F126" s="5">
        <v>0.85399999999999998</v>
      </c>
    </row>
    <row r="127" spans="2:6" x14ac:dyDescent="0.2">
      <c r="B127" s="9" t="s">
        <v>5662</v>
      </c>
      <c r="C127" s="15" t="s">
        <v>5662</v>
      </c>
      <c r="D127" s="12" t="str">
        <f>"0965-2140"</f>
        <v>0965-2140</v>
      </c>
      <c r="E127" s="5">
        <v>6.5259999999999998</v>
      </c>
      <c r="F127" s="5">
        <v>0.95099999999999996</v>
      </c>
    </row>
    <row r="128" spans="2:6" x14ac:dyDescent="0.2">
      <c r="B128" s="9" t="s">
        <v>3074</v>
      </c>
      <c r="C128" s="15" t="s">
        <v>3075</v>
      </c>
      <c r="D128" s="12" t="str">
        <f>"1606-6359"</f>
        <v>1606-6359</v>
      </c>
      <c r="E128" s="5">
        <v>2.3359999999999999</v>
      </c>
      <c r="F128" s="5">
        <v>0.54500000000000004</v>
      </c>
    </row>
    <row r="129" spans="2:6" x14ac:dyDescent="0.2">
      <c r="B129" s="9" t="s">
        <v>8029</v>
      </c>
      <c r="C129" s="15" t="s">
        <v>8030</v>
      </c>
      <c r="D129" s="12" t="str">
        <f>"1940-0640"</f>
        <v>1940-0640</v>
      </c>
      <c r="E129" s="5">
        <v>3.544</v>
      </c>
      <c r="F129" s="5">
        <v>0.63400000000000001</v>
      </c>
    </row>
    <row r="130" spans="2:6" x14ac:dyDescent="0.2">
      <c r="B130" s="9" t="s">
        <v>8031</v>
      </c>
      <c r="C130" s="15" t="s">
        <v>8032</v>
      </c>
      <c r="D130" s="12" t="str">
        <f>"0214-4840"</f>
        <v>0214-4840</v>
      </c>
      <c r="E130" s="5">
        <v>2.9790000000000001</v>
      </c>
      <c r="F130" s="5">
        <v>0.48799999999999999</v>
      </c>
    </row>
    <row r="131" spans="2:6" x14ac:dyDescent="0.2">
      <c r="B131" s="9" t="s">
        <v>8033</v>
      </c>
      <c r="C131" s="15" t="s">
        <v>8034</v>
      </c>
      <c r="D131" s="12" t="str">
        <f>"2162-3945"</f>
        <v>2162-3945</v>
      </c>
      <c r="E131" s="5">
        <v>4.5339999999999998</v>
      </c>
      <c r="F131" s="5">
        <v>0.64800000000000002</v>
      </c>
    </row>
    <row r="132" spans="2:6" x14ac:dyDescent="0.2">
      <c r="B132" s="9" t="s">
        <v>3076</v>
      </c>
      <c r="C132" s="15" t="s">
        <v>8035</v>
      </c>
      <c r="D132" s="12" t="str">
        <f>"0894-587X"</f>
        <v>0894-587X</v>
      </c>
      <c r="E132" s="5">
        <v>2.847</v>
      </c>
      <c r="F132" s="5">
        <v>0.60399999999999998</v>
      </c>
    </row>
    <row r="133" spans="2:6" x14ac:dyDescent="0.2">
      <c r="B133" s="9" t="s">
        <v>5663</v>
      </c>
      <c r="C133" s="15" t="s">
        <v>8036</v>
      </c>
      <c r="D133" s="12" t="str">
        <f>"0301-5556"</f>
        <v>0301-5556</v>
      </c>
      <c r="E133" s="5">
        <v>1.2310000000000001</v>
      </c>
      <c r="F133" s="5">
        <v>0.23799999999999999</v>
      </c>
    </row>
    <row r="134" spans="2:6" x14ac:dyDescent="0.2">
      <c r="B134" s="9" t="s">
        <v>5664</v>
      </c>
      <c r="C134" s="15" t="s">
        <v>5725</v>
      </c>
      <c r="D134" s="12" t="str">
        <f>"1072-4109"</f>
        <v>1072-4109</v>
      </c>
      <c r="E134" s="5">
        <v>3.875</v>
      </c>
      <c r="F134" s="5">
        <v>0.68799999999999994</v>
      </c>
    </row>
    <row r="135" spans="2:6" x14ac:dyDescent="0.2">
      <c r="B135" s="9" t="s">
        <v>5665</v>
      </c>
      <c r="C135" s="15" t="s">
        <v>8037</v>
      </c>
      <c r="D135" s="12" t="str">
        <f>"0065-2156"</f>
        <v>0065-2156</v>
      </c>
      <c r="E135" s="5">
        <v>9</v>
      </c>
      <c r="F135" s="5">
        <v>0.99199999999999999</v>
      </c>
    </row>
    <row r="136" spans="2:6" x14ac:dyDescent="0.2">
      <c r="B136" s="9" t="s">
        <v>5666</v>
      </c>
      <c r="C136" s="15" t="s">
        <v>8038</v>
      </c>
      <c r="D136" s="12" t="str">
        <f>"0065-2164"</f>
        <v>0065-2164</v>
      </c>
      <c r="E136" s="5">
        <v>5.0860000000000003</v>
      </c>
      <c r="F136" s="5">
        <v>0.79100000000000004</v>
      </c>
    </row>
    <row r="137" spans="2:6" x14ac:dyDescent="0.2">
      <c r="B137" s="9" t="s">
        <v>5667</v>
      </c>
      <c r="C137" s="15" t="s">
        <v>5726</v>
      </c>
      <c r="D137" s="12" t="str">
        <f>"0001-8678"</f>
        <v>0001-8678</v>
      </c>
      <c r="E137" s="5">
        <v>0.69</v>
      </c>
      <c r="F137" s="5">
        <v>7.1999999999999995E-2</v>
      </c>
    </row>
    <row r="138" spans="2:6" x14ac:dyDescent="0.2">
      <c r="B138" s="9" t="s">
        <v>8039</v>
      </c>
      <c r="C138" s="15" t="s">
        <v>8040</v>
      </c>
      <c r="D138" s="12" t="str">
        <f>"1049-250X"</f>
        <v>1049-250X</v>
      </c>
      <c r="E138" s="5">
        <v>1.6359999999999999</v>
      </c>
      <c r="F138" s="5">
        <v>0.32300000000000001</v>
      </c>
    </row>
    <row r="139" spans="2:6" x14ac:dyDescent="0.2">
      <c r="B139" s="9" t="s">
        <v>5668</v>
      </c>
      <c r="C139" s="15" t="s">
        <v>8041</v>
      </c>
      <c r="D139" s="12" t="str">
        <f>"0724-6145"</f>
        <v>0724-6145</v>
      </c>
      <c r="E139" s="5">
        <v>2.6349999999999998</v>
      </c>
      <c r="F139" s="5">
        <v>0.34799999999999998</v>
      </c>
    </row>
    <row r="140" spans="2:6" x14ac:dyDescent="0.2">
      <c r="B140" s="9" t="s">
        <v>5669</v>
      </c>
      <c r="C140" s="15" t="s">
        <v>8042</v>
      </c>
      <c r="D140" s="12" t="str">
        <f>"0065-230X"</f>
        <v>0065-230X</v>
      </c>
      <c r="E140" s="5">
        <v>6.242</v>
      </c>
      <c r="F140" s="5">
        <v>0.74299999999999999</v>
      </c>
    </row>
    <row r="141" spans="2:6" x14ac:dyDescent="0.2">
      <c r="B141" s="9" t="s">
        <v>5670</v>
      </c>
      <c r="C141" s="15" t="s">
        <v>8043</v>
      </c>
      <c r="D141" s="12" t="str">
        <f>"0065-2318"</f>
        <v>0065-2318</v>
      </c>
      <c r="E141" s="5">
        <v>12.2</v>
      </c>
      <c r="F141" s="5">
        <v>0.98199999999999998</v>
      </c>
    </row>
    <row r="142" spans="2:6" x14ac:dyDescent="0.2">
      <c r="B142" s="9" t="s">
        <v>3077</v>
      </c>
      <c r="C142" s="15" t="s">
        <v>8044</v>
      </c>
      <c r="D142" s="12" t="str">
        <f>"0065-2407"</f>
        <v>0065-2407</v>
      </c>
      <c r="E142" s="5">
        <v>2.1819999999999999</v>
      </c>
      <c r="F142" s="5">
        <v>0.35099999999999998</v>
      </c>
    </row>
    <row r="143" spans="2:6" x14ac:dyDescent="0.2">
      <c r="B143" s="9" t="s">
        <v>5671</v>
      </c>
      <c r="C143" s="15" t="s">
        <v>5727</v>
      </c>
      <c r="D143" s="12" t="str">
        <f>"1548-5595"</f>
        <v>1548-5595</v>
      </c>
      <c r="E143" s="5">
        <v>3.62</v>
      </c>
      <c r="F143" s="5">
        <v>0.66300000000000003</v>
      </c>
    </row>
    <row r="144" spans="2:6" x14ac:dyDescent="0.2">
      <c r="B144" s="9" t="s">
        <v>5672</v>
      </c>
      <c r="C144" s="15" t="s">
        <v>8045</v>
      </c>
      <c r="D144" s="12" t="str">
        <f>"0065-2423"</f>
        <v>0065-2423</v>
      </c>
      <c r="E144" s="5">
        <v>5.3940000000000001</v>
      </c>
      <c r="F144" s="5">
        <v>0.86199999999999999</v>
      </c>
    </row>
    <row r="145" spans="2:6" x14ac:dyDescent="0.2">
      <c r="B145" s="9" t="s">
        <v>3078</v>
      </c>
      <c r="C145" s="15" t="s">
        <v>3079</v>
      </c>
      <c r="D145" s="12" t="str">
        <f>"1899-5276"</f>
        <v>1899-5276</v>
      </c>
      <c r="E145" s="5">
        <v>1.7270000000000001</v>
      </c>
      <c r="F145" s="5">
        <v>0.16400000000000001</v>
      </c>
    </row>
    <row r="146" spans="2:6" x14ac:dyDescent="0.2">
      <c r="B146" s="9" t="s">
        <v>8046</v>
      </c>
      <c r="C146" s="15" t="s">
        <v>8047</v>
      </c>
      <c r="D146" s="12" t="str">
        <f>"1895-1171"</f>
        <v>1895-1171</v>
      </c>
      <c r="E146" s="5">
        <v>0.872</v>
      </c>
      <c r="F146" s="5">
        <v>2.1999999999999999E-2</v>
      </c>
    </row>
    <row r="147" spans="2:6" x14ac:dyDescent="0.2">
      <c r="B147" s="9" t="s">
        <v>5673</v>
      </c>
      <c r="C147" s="15" t="s">
        <v>5728</v>
      </c>
      <c r="D147" s="12" t="str">
        <f>"0219-5259"</f>
        <v>0219-5259</v>
      </c>
      <c r="E147" s="5">
        <v>1.226</v>
      </c>
      <c r="F147" s="5">
        <v>0.29199999999999998</v>
      </c>
    </row>
    <row r="148" spans="2:6" x14ac:dyDescent="0.2">
      <c r="B148" s="9" t="s">
        <v>8048</v>
      </c>
      <c r="C148" s="15" t="s">
        <v>8049</v>
      </c>
      <c r="D148" s="12" t="str">
        <f>"1862-5347"</f>
        <v>1862-5347</v>
      </c>
      <c r="E148" s="5">
        <v>2.1339999999999999</v>
      </c>
      <c r="F148" s="5">
        <v>0.68799999999999994</v>
      </c>
    </row>
    <row r="149" spans="2:6" x14ac:dyDescent="0.2">
      <c r="B149" s="9" t="s">
        <v>5674</v>
      </c>
      <c r="C149" s="15" t="s">
        <v>5729</v>
      </c>
      <c r="D149" s="12" t="str">
        <f>"0169-409X"</f>
        <v>0169-409X</v>
      </c>
      <c r="E149" s="5">
        <v>15.47</v>
      </c>
      <c r="F149" s="5">
        <v>0.98899999999999999</v>
      </c>
    </row>
    <row r="150" spans="2:6" x14ac:dyDescent="0.2">
      <c r="B150" s="9" t="s">
        <v>3080</v>
      </c>
      <c r="C150" s="15" t="s">
        <v>3081</v>
      </c>
      <c r="D150" s="12" t="str">
        <f>"0965-9978"</f>
        <v>0965-9978</v>
      </c>
      <c r="E150" s="5">
        <v>4.141</v>
      </c>
      <c r="F150" s="5">
        <v>0.86199999999999999</v>
      </c>
    </row>
    <row r="151" spans="2:6" x14ac:dyDescent="0.2">
      <c r="B151" s="9" t="s">
        <v>5675</v>
      </c>
      <c r="C151" s="15" t="s">
        <v>8050</v>
      </c>
      <c r="D151" s="12" t="str">
        <f>"0065-2598"</f>
        <v>0065-2598</v>
      </c>
      <c r="E151" s="5">
        <v>2.6219999999999999</v>
      </c>
      <c r="F151" s="5">
        <v>0.56999999999999995</v>
      </c>
    </row>
    <row r="152" spans="2:6" x14ac:dyDescent="0.2">
      <c r="B152" s="9" t="s">
        <v>3082</v>
      </c>
      <c r="C152" s="15" t="s">
        <v>3083</v>
      </c>
      <c r="D152" s="12" t="str">
        <f>"1616-301X"</f>
        <v>1616-301X</v>
      </c>
      <c r="E152" s="5">
        <v>18.808</v>
      </c>
      <c r="F152" s="5">
        <v>0.95799999999999996</v>
      </c>
    </row>
    <row r="153" spans="2:6" x14ac:dyDescent="0.2">
      <c r="B153" s="9" t="s">
        <v>8051</v>
      </c>
      <c r="C153" s="15" t="s">
        <v>8052</v>
      </c>
      <c r="D153" s="12" t="str">
        <f>"0065-2660"</f>
        <v>0065-2660</v>
      </c>
      <c r="E153" s="5">
        <v>1.944</v>
      </c>
      <c r="F153" s="5">
        <v>0.217</v>
      </c>
    </row>
    <row r="154" spans="2:6" x14ac:dyDescent="0.2">
      <c r="B154" s="9" t="s">
        <v>8053</v>
      </c>
      <c r="C154" s="15" t="s">
        <v>8054</v>
      </c>
      <c r="D154" s="12" t="str">
        <f>"2192-2659"</f>
        <v>2192-2659</v>
      </c>
      <c r="E154" s="5">
        <v>9.9329999999999998</v>
      </c>
      <c r="F154" s="5">
        <v>0.92100000000000004</v>
      </c>
    </row>
    <row r="155" spans="2:6" x14ac:dyDescent="0.2">
      <c r="B155" s="9" t="s">
        <v>5676</v>
      </c>
      <c r="C155" s="15" t="s">
        <v>5730</v>
      </c>
      <c r="D155" s="12" t="str">
        <f>"1382-4996"</f>
        <v>1382-4996</v>
      </c>
      <c r="E155" s="5">
        <v>3.8530000000000002</v>
      </c>
      <c r="F155" s="5">
        <v>0.90700000000000003</v>
      </c>
    </row>
    <row r="156" spans="2:6" x14ac:dyDescent="0.2">
      <c r="B156" s="9" t="s">
        <v>5677</v>
      </c>
      <c r="C156" s="15" t="s">
        <v>8055</v>
      </c>
      <c r="D156" s="12" t="str">
        <f>"0065-2725"</f>
        <v>0065-2725</v>
      </c>
      <c r="E156" s="5">
        <v>3.552</v>
      </c>
      <c r="F156" s="5">
        <v>0.70199999999999996</v>
      </c>
    </row>
    <row r="157" spans="2:6" x14ac:dyDescent="0.2">
      <c r="B157" s="9" t="s">
        <v>5678</v>
      </c>
      <c r="C157" s="15" t="s">
        <v>8056</v>
      </c>
      <c r="D157" s="12" t="str">
        <f>"0065-2776"</f>
        <v>0065-2776</v>
      </c>
      <c r="E157" s="5">
        <v>3.5430000000000001</v>
      </c>
      <c r="F157" s="5">
        <v>0.377</v>
      </c>
    </row>
    <row r="158" spans="2:6" x14ac:dyDescent="0.2">
      <c r="B158" s="9" t="s">
        <v>8057</v>
      </c>
      <c r="C158" s="15" t="s">
        <v>8058</v>
      </c>
      <c r="D158" s="12" t="str">
        <f>"1040-2608"</f>
        <v>1040-2608</v>
      </c>
      <c r="E158" s="5">
        <v>2.3279999999999998</v>
      </c>
      <c r="F158" s="5">
        <v>0.63300000000000001</v>
      </c>
    </row>
    <row r="159" spans="2:6" x14ac:dyDescent="0.2">
      <c r="B159" s="9" t="s">
        <v>5680</v>
      </c>
      <c r="C159" s="15" t="s">
        <v>5731</v>
      </c>
      <c r="D159" s="12" t="str">
        <f>"0935-9648"</f>
        <v>0935-9648</v>
      </c>
      <c r="E159" s="5">
        <v>30.849</v>
      </c>
      <c r="F159" s="5">
        <v>0.98599999999999999</v>
      </c>
    </row>
    <row r="160" spans="2:6" x14ac:dyDescent="0.2">
      <c r="B160" s="9" t="s">
        <v>8059</v>
      </c>
      <c r="C160" s="15" t="s">
        <v>8060</v>
      </c>
      <c r="D160" s="12" t="str">
        <f>"2196-7350"</f>
        <v>2196-7350</v>
      </c>
      <c r="E160" s="5">
        <v>6.1470000000000002</v>
      </c>
      <c r="F160" s="5">
        <v>0.748</v>
      </c>
    </row>
    <row r="161" spans="2:6" x14ac:dyDescent="0.2">
      <c r="B161" s="9" t="s">
        <v>8061</v>
      </c>
      <c r="C161" s="15" t="s">
        <v>8062</v>
      </c>
      <c r="D161" s="12" t="str">
        <f>"1687-8132"</f>
        <v>1687-8132</v>
      </c>
      <c r="E161" s="5">
        <v>1.3160000000000001</v>
      </c>
      <c r="F161" s="5">
        <v>0.20300000000000001</v>
      </c>
    </row>
    <row r="162" spans="2:6" x14ac:dyDescent="0.2">
      <c r="B162" s="9" t="s">
        <v>8063</v>
      </c>
      <c r="C162" s="15" t="s">
        <v>8064</v>
      </c>
      <c r="D162" s="12" t="str">
        <f>"1896-1126"</f>
        <v>1896-1126</v>
      </c>
      <c r="E162" s="5">
        <v>3.2869999999999999</v>
      </c>
      <c r="F162" s="5">
        <v>0.41399999999999998</v>
      </c>
    </row>
    <row r="163" spans="2:6" x14ac:dyDescent="0.2">
      <c r="B163" s="9" t="s">
        <v>5681</v>
      </c>
      <c r="C163" s="15" t="s">
        <v>8065</v>
      </c>
      <c r="D163" s="12" t="str">
        <f>"0065-2911"</f>
        <v>0065-2911</v>
      </c>
      <c r="E163" s="5">
        <v>3.5169999999999999</v>
      </c>
      <c r="F163" s="5">
        <v>0.52600000000000002</v>
      </c>
    </row>
    <row r="164" spans="2:6" x14ac:dyDescent="0.2">
      <c r="B164" s="9" t="s">
        <v>8066</v>
      </c>
      <c r="C164" s="15" t="s">
        <v>8067</v>
      </c>
      <c r="D164" s="12" t="str">
        <f>"1536-0903"</f>
        <v>1536-0903</v>
      </c>
      <c r="E164" s="5">
        <v>1.968</v>
      </c>
      <c r="F164" s="5">
        <v>0.53200000000000003</v>
      </c>
    </row>
    <row r="165" spans="2:6" x14ac:dyDescent="0.2">
      <c r="B165" s="9" t="s">
        <v>5682</v>
      </c>
      <c r="C165" s="15" t="s">
        <v>5732</v>
      </c>
      <c r="D165" s="12" t="str">
        <f>"0161-9268"</f>
        <v>0161-9268</v>
      </c>
      <c r="E165" s="5">
        <v>1.8240000000000001</v>
      </c>
      <c r="F165" s="5">
        <v>0.46</v>
      </c>
    </row>
    <row r="166" spans="2:6" x14ac:dyDescent="0.2">
      <c r="B166" s="9" t="s">
        <v>8068</v>
      </c>
      <c r="C166" s="15" t="s">
        <v>8069</v>
      </c>
      <c r="D166" s="12" t="str">
        <f>"2156-5376"</f>
        <v>2156-5376</v>
      </c>
      <c r="E166" s="5">
        <v>8.7010000000000005</v>
      </c>
      <c r="F166" s="5">
        <v>0.96599999999999997</v>
      </c>
    </row>
    <row r="167" spans="2:6" x14ac:dyDescent="0.2">
      <c r="B167" s="9" t="s">
        <v>8070</v>
      </c>
      <c r="C167" s="15" t="s">
        <v>8071</v>
      </c>
      <c r="D167" s="12" t="str">
        <f>"2195-1071"</f>
        <v>2195-1071</v>
      </c>
      <c r="E167" s="5">
        <v>9.9260000000000002</v>
      </c>
      <c r="F167" s="5">
        <v>0.93899999999999995</v>
      </c>
    </row>
    <row r="168" spans="2:6" x14ac:dyDescent="0.2">
      <c r="B168" s="9" t="s">
        <v>8072</v>
      </c>
      <c r="C168" s="15" t="s">
        <v>8073</v>
      </c>
      <c r="D168" s="12" t="str">
        <f>"1943-8206"</f>
        <v>1943-8206</v>
      </c>
      <c r="E168" s="5">
        <v>20.106999999999999</v>
      </c>
      <c r="F168" s="5">
        <v>0.99</v>
      </c>
    </row>
    <row r="169" spans="2:6" x14ac:dyDescent="0.2">
      <c r="B169" s="9" t="s">
        <v>5683</v>
      </c>
      <c r="C169" s="15" t="s">
        <v>8074</v>
      </c>
      <c r="D169" s="12" t="str">
        <f>"0065-3055"</f>
        <v>0065-3055</v>
      </c>
      <c r="E169" s="5">
        <v>4.8330000000000002</v>
      </c>
      <c r="F169" s="5">
        <v>0.88900000000000001</v>
      </c>
    </row>
    <row r="170" spans="2:6" x14ac:dyDescent="0.2">
      <c r="B170" s="9" t="s">
        <v>5684</v>
      </c>
      <c r="C170" s="15" t="s">
        <v>8075</v>
      </c>
      <c r="D170" s="12" t="str">
        <f>"2163-6079"</f>
        <v>2163-6079</v>
      </c>
      <c r="E170" s="5">
        <v>3.87</v>
      </c>
      <c r="F170" s="5">
        <v>0.78900000000000003</v>
      </c>
    </row>
    <row r="171" spans="2:6" x14ac:dyDescent="0.2">
      <c r="B171" s="9" t="s">
        <v>5686</v>
      </c>
      <c r="C171" s="15" t="s">
        <v>5733</v>
      </c>
      <c r="D171" s="12" t="str">
        <f>"1043-4046"</f>
        <v>1043-4046</v>
      </c>
      <c r="E171" s="5">
        <v>2.2879999999999998</v>
      </c>
      <c r="F171" s="5">
        <v>0.46500000000000002</v>
      </c>
    </row>
    <row r="172" spans="2:6" x14ac:dyDescent="0.2">
      <c r="B172" s="9" t="s">
        <v>5685</v>
      </c>
      <c r="C172" s="15" t="s">
        <v>8076</v>
      </c>
      <c r="D172" s="12" t="str">
        <f>"0065-3160"</f>
        <v>0065-3160</v>
      </c>
      <c r="E172" s="5">
        <v>2.8330000000000002</v>
      </c>
      <c r="F172" s="5">
        <v>0.59599999999999997</v>
      </c>
    </row>
    <row r="173" spans="2:6" x14ac:dyDescent="0.2">
      <c r="B173" s="9" t="s">
        <v>8077</v>
      </c>
      <c r="C173" s="15" t="s">
        <v>8078</v>
      </c>
      <c r="D173" s="12" t="str">
        <f>"1876-1623"</f>
        <v>1876-1623</v>
      </c>
      <c r="E173" s="5">
        <v>3.5070000000000001</v>
      </c>
      <c r="F173" s="5">
        <v>0.40899999999999997</v>
      </c>
    </row>
    <row r="174" spans="2:6" x14ac:dyDescent="0.2">
      <c r="B174" s="9" t="s">
        <v>8079</v>
      </c>
      <c r="C174" s="15" t="s">
        <v>8080</v>
      </c>
      <c r="D174" s="12" t="str">
        <f>"2523-3106"</f>
        <v>2523-3106</v>
      </c>
      <c r="E174" s="5">
        <v>2.2349999999999999</v>
      </c>
      <c r="F174" s="5">
        <v>0.14699999999999999</v>
      </c>
    </row>
    <row r="175" spans="2:6" x14ac:dyDescent="0.2">
      <c r="B175" s="9" t="s">
        <v>8081</v>
      </c>
      <c r="C175" s="15" t="s">
        <v>8082</v>
      </c>
      <c r="D175" s="12" t="str">
        <f>"2198-3844"</f>
        <v>2198-3844</v>
      </c>
      <c r="E175" s="5">
        <v>16.806000000000001</v>
      </c>
      <c r="F175" s="5">
        <v>0.94899999999999995</v>
      </c>
    </row>
    <row r="176" spans="2:6" x14ac:dyDescent="0.2">
      <c r="B176" s="9" t="s">
        <v>8083</v>
      </c>
      <c r="C176" s="15" t="s">
        <v>8084</v>
      </c>
      <c r="D176" s="12" t="str">
        <f>"1527-7941"</f>
        <v>1527-7941</v>
      </c>
      <c r="E176" s="5">
        <v>2.347</v>
      </c>
      <c r="F176" s="5">
        <v>0.73799999999999999</v>
      </c>
    </row>
    <row r="177" spans="2:6" x14ac:dyDescent="0.2">
      <c r="B177" s="9" t="s">
        <v>5687</v>
      </c>
      <c r="C177" s="15" t="s">
        <v>5734</v>
      </c>
      <c r="D177" s="12" t="str">
        <f>"1615-4150"</f>
        <v>1615-4150</v>
      </c>
      <c r="E177" s="5">
        <v>5.8369999999999997</v>
      </c>
      <c r="F177" s="5">
        <v>0.89500000000000002</v>
      </c>
    </row>
    <row r="178" spans="2:6" x14ac:dyDescent="0.2">
      <c r="B178" s="9" t="s">
        <v>8085</v>
      </c>
      <c r="C178" s="15" t="s">
        <v>8086</v>
      </c>
      <c r="D178" s="12" t="str">
        <f>"2513-0390"</f>
        <v>2513-0390</v>
      </c>
      <c r="E178" s="5">
        <v>4.0039999999999996</v>
      </c>
      <c r="F178" s="5">
        <v>0.72199999999999998</v>
      </c>
    </row>
    <row r="179" spans="2:6" x14ac:dyDescent="0.2">
      <c r="B179" s="9" t="s">
        <v>5688</v>
      </c>
      <c r="C179" s="15" t="s">
        <v>5735</v>
      </c>
      <c r="D179" s="12" t="str">
        <f>"0741-238X"</f>
        <v>0741-238X</v>
      </c>
      <c r="E179" s="5">
        <v>3.8450000000000002</v>
      </c>
      <c r="F179" s="5">
        <v>0.57099999999999995</v>
      </c>
    </row>
    <row r="180" spans="2:6" x14ac:dyDescent="0.2">
      <c r="B180" s="9" t="s">
        <v>5689</v>
      </c>
      <c r="C180" s="15" t="s">
        <v>8087</v>
      </c>
      <c r="D180" s="12" t="str">
        <f>"1557-8399"</f>
        <v>1557-8399</v>
      </c>
      <c r="E180" s="5">
        <v>9.9369999999999994</v>
      </c>
      <c r="F180" s="5">
        <v>0.94399999999999995</v>
      </c>
    </row>
    <row r="181" spans="2:6" x14ac:dyDescent="0.2">
      <c r="B181" s="9" t="s">
        <v>8088</v>
      </c>
      <c r="C181" s="15" t="s">
        <v>8089</v>
      </c>
      <c r="D181" s="12" t="str">
        <f>"2162-1918"</f>
        <v>2162-1918</v>
      </c>
      <c r="E181" s="5">
        <v>4.7300000000000004</v>
      </c>
      <c r="F181" s="5">
        <v>0.83799999999999997</v>
      </c>
    </row>
    <row r="182" spans="2:6" x14ac:dyDescent="0.2">
      <c r="B182" s="9" t="s">
        <v>3084</v>
      </c>
      <c r="C182" s="15" t="s">
        <v>3084</v>
      </c>
      <c r="D182" s="12" t="str">
        <f>"0393-5965"</f>
        <v>0393-5965</v>
      </c>
      <c r="E182" s="5">
        <v>2.41</v>
      </c>
      <c r="F182" s="5">
        <v>0.505</v>
      </c>
    </row>
    <row r="183" spans="2:6" x14ac:dyDescent="0.2">
      <c r="B183" s="9" t="s">
        <v>5690</v>
      </c>
      <c r="C183" s="15" t="s">
        <v>5736</v>
      </c>
      <c r="D183" s="12" t="str">
        <f>"0278-6826"</f>
        <v>0278-6826</v>
      </c>
      <c r="E183" s="5">
        <v>2.9079999999999999</v>
      </c>
      <c r="F183" s="5">
        <v>0.624</v>
      </c>
    </row>
    <row r="184" spans="2:6" x14ac:dyDescent="0.2">
      <c r="B184" s="9" t="s">
        <v>8090</v>
      </c>
      <c r="C184" s="15" t="s">
        <v>8091</v>
      </c>
      <c r="D184" s="12" t="str">
        <f>"2375-6314"</f>
        <v>2375-6314</v>
      </c>
      <c r="E184" s="5">
        <v>1.0529999999999999</v>
      </c>
      <c r="F184" s="5">
        <v>8.5999999999999993E-2</v>
      </c>
    </row>
    <row r="185" spans="2:6" x14ac:dyDescent="0.2">
      <c r="B185" s="9" t="s">
        <v>5691</v>
      </c>
      <c r="C185" s="15" t="s">
        <v>5737</v>
      </c>
      <c r="D185" s="12" t="str">
        <f>"0364-216X"</f>
        <v>0364-216X</v>
      </c>
      <c r="E185" s="5">
        <v>2.3260000000000001</v>
      </c>
      <c r="F185" s="5">
        <v>0.47099999999999997</v>
      </c>
    </row>
    <row r="186" spans="2:6" x14ac:dyDescent="0.2">
      <c r="B186" s="9" t="s">
        <v>8092</v>
      </c>
      <c r="C186" s="15" t="s">
        <v>8093</v>
      </c>
      <c r="D186" s="12" t="str">
        <f>"1090-820X"</f>
        <v>1090-820X</v>
      </c>
      <c r="E186" s="5">
        <v>4.2830000000000004</v>
      </c>
      <c r="F186" s="5">
        <v>0.82899999999999996</v>
      </c>
    </row>
    <row r="187" spans="2:6" x14ac:dyDescent="0.2">
      <c r="B187" s="9" t="s">
        <v>3085</v>
      </c>
      <c r="C187" s="15" t="s">
        <v>3086</v>
      </c>
      <c r="D187" s="12" t="str">
        <f>"0886-1099"</f>
        <v>0886-1099</v>
      </c>
      <c r="E187" s="5">
        <v>1.597</v>
      </c>
      <c r="F187" s="5">
        <v>0.45500000000000002</v>
      </c>
    </row>
    <row r="188" spans="2:6" x14ac:dyDescent="0.2">
      <c r="B188" s="9" t="s">
        <v>5692</v>
      </c>
      <c r="C188" s="15" t="s">
        <v>5692</v>
      </c>
      <c r="D188" s="12" t="str">
        <f>"0001-9704"</f>
        <v>0001-9704</v>
      </c>
      <c r="E188" s="5">
        <v>0.37</v>
      </c>
      <c r="F188" s="5">
        <v>2.1999999999999999E-2</v>
      </c>
    </row>
    <row r="189" spans="2:6" x14ac:dyDescent="0.2">
      <c r="B189" s="9" t="s">
        <v>8094</v>
      </c>
      <c r="C189" s="15" t="s">
        <v>8095</v>
      </c>
      <c r="D189" s="12" t="str">
        <f>"1680-6905"</f>
        <v>1680-6905</v>
      </c>
      <c r="E189" s="5">
        <v>0.92700000000000005</v>
      </c>
      <c r="F189" s="5">
        <v>0.18</v>
      </c>
    </row>
    <row r="190" spans="2:6" x14ac:dyDescent="0.2">
      <c r="B190" s="9" t="s">
        <v>8096</v>
      </c>
      <c r="C190" s="15" t="s">
        <v>8097</v>
      </c>
      <c r="D190" s="12" t="str">
        <f>"2211-419X"</f>
        <v>2211-419X</v>
      </c>
      <c r="E190" s="5">
        <v>1.37</v>
      </c>
      <c r="F190" s="5">
        <v>0.28100000000000003</v>
      </c>
    </row>
    <row r="191" spans="2:6" x14ac:dyDescent="0.2">
      <c r="B191" s="9" t="s">
        <v>8098</v>
      </c>
      <c r="C191" s="15" t="s">
        <v>8099</v>
      </c>
      <c r="D191" s="12" t="str">
        <f>"0795-4778"</f>
        <v>0795-4778</v>
      </c>
      <c r="E191" s="5">
        <v>0.82799999999999996</v>
      </c>
      <c r="F191" s="5">
        <v>0.224</v>
      </c>
    </row>
    <row r="192" spans="2:6" x14ac:dyDescent="0.2">
      <c r="B192" s="9" t="s">
        <v>8100</v>
      </c>
      <c r="C192" s="15" t="s">
        <v>8101</v>
      </c>
      <c r="D192" s="12" t="str">
        <f>"1118-4841"</f>
        <v>1118-4841</v>
      </c>
      <c r="E192" s="5">
        <v>1.2110000000000001</v>
      </c>
      <c r="F192" s="5">
        <v>0.113</v>
      </c>
    </row>
    <row r="193" spans="2:6" x14ac:dyDescent="0.2">
      <c r="B193" s="9" t="s">
        <v>5693</v>
      </c>
      <c r="C193" s="15" t="s">
        <v>5738</v>
      </c>
      <c r="D193" s="12" t="str">
        <f>"0002-0729"</f>
        <v>0002-0729</v>
      </c>
      <c r="E193" s="5">
        <v>10.667999999999999</v>
      </c>
      <c r="F193" s="5">
        <v>0.96199999999999997</v>
      </c>
    </row>
    <row r="194" spans="2:6" x14ac:dyDescent="0.2">
      <c r="B194" s="9" t="s">
        <v>5694</v>
      </c>
      <c r="C194" s="15" t="s">
        <v>5739</v>
      </c>
      <c r="D194" s="12" t="str">
        <f>"1568-1637"</f>
        <v>1568-1637</v>
      </c>
      <c r="E194" s="5">
        <v>10.895</v>
      </c>
      <c r="F194" s="5">
        <v>0.98099999999999998</v>
      </c>
    </row>
    <row r="195" spans="2:6" x14ac:dyDescent="0.2">
      <c r="B195" s="9" t="s">
        <v>3089</v>
      </c>
      <c r="C195" s="15" t="s">
        <v>3090</v>
      </c>
      <c r="D195" s="12" t="str">
        <f>"1098-2337"</f>
        <v>1098-2337</v>
      </c>
      <c r="E195" s="5">
        <v>2.9169999999999998</v>
      </c>
      <c r="F195" s="5">
        <v>0.67600000000000005</v>
      </c>
    </row>
    <row r="196" spans="2:6" x14ac:dyDescent="0.2">
      <c r="B196" s="9" t="s">
        <v>3087</v>
      </c>
      <c r="C196" s="15" t="s">
        <v>3088</v>
      </c>
      <c r="D196" s="12" t="str">
        <f>"1359-1789"</f>
        <v>1359-1789</v>
      </c>
      <c r="E196" s="5">
        <v>4.3819999999999997</v>
      </c>
      <c r="F196" s="5">
        <v>0.89900000000000002</v>
      </c>
    </row>
    <row r="197" spans="2:6" x14ac:dyDescent="0.2">
      <c r="B197" s="9" t="s">
        <v>5695</v>
      </c>
      <c r="C197" s="15" t="s">
        <v>5695</v>
      </c>
      <c r="D197" s="12" t="str">
        <f>"1474-9718"</f>
        <v>1474-9718</v>
      </c>
      <c r="E197" s="5">
        <v>9.3040000000000003</v>
      </c>
      <c r="F197" s="5">
        <v>0.94299999999999995</v>
      </c>
    </row>
    <row r="198" spans="2:6" x14ac:dyDescent="0.2">
      <c r="B198" s="9" t="s">
        <v>5696</v>
      </c>
      <c r="C198" s="15" t="s">
        <v>5740</v>
      </c>
      <c r="D198" s="12" t="str">
        <f>"1720-8319"</f>
        <v>1720-8319</v>
      </c>
      <c r="E198" s="5">
        <v>3.6360000000000001</v>
      </c>
      <c r="F198" s="5">
        <v>0.47199999999999998</v>
      </c>
    </row>
    <row r="199" spans="2:6" x14ac:dyDescent="0.2">
      <c r="B199" s="9" t="s">
        <v>8102</v>
      </c>
      <c r="C199" s="15" t="s">
        <v>8103</v>
      </c>
      <c r="D199" s="12" t="str">
        <f>"2152-5250"</f>
        <v>2152-5250</v>
      </c>
      <c r="E199" s="5">
        <v>6.7450000000000001</v>
      </c>
      <c r="F199" s="5">
        <v>0.90600000000000003</v>
      </c>
    </row>
    <row r="200" spans="2:6" x14ac:dyDescent="0.2">
      <c r="B200" s="9" t="s">
        <v>3091</v>
      </c>
      <c r="C200" s="15" t="s">
        <v>3092</v>
      </c>
      <c r="D200" s="12" t="str">
        <f>"1368-5538"</f>
        <v>1368-5538</v>
      </c>
      <c r="E200" s="5">
        <v>5.8920000000000003</v>
      </c>
      <c r="F200" s="5">
        <v>0.85399999999999998</v>
      </c>
    </row>
    <row r="201" spans="2:6" x14ac:dyDescent="0.2">
      <c r="B201" s="9" t="s">
        <v>5697</v>
      </c>
      <c r="C201" s="15" t="s">
        <v>5741</v>
      </c>
      <c r="D201" s="12" t="str">
        <f>"1360-7863"</f>
        <v>1360-7863</v>
      </c>
      <c r="E201" s="5">
        <v>3.6579999999999999</v>
      </c>
      <c r="F201" s="5">
        <v>0.80600000000000005</v>
      </c>
    </row>
    <row r="202" spans="2:6" x14ac:dyDescent="0.2">
      <c r="B202" s="9" t="s">
        <v>3093</v>
      </c>
      <c r="C202" s="15" t="s">
        <v>3094</v>
      </c>
      <c r="D202" s="12" t="str">
        <f>"1382-5585"</f>
        <v>1382-5585</v>
      </c>
      <c r="E202" s="5">
        <v>1.85</v>
      </c>
      <c r="F202" s="5">
        <v>0.28899999999999998</v>
      </c>
    </row>
    <row r="203" spans="2:6" x14ac:dyDescent="0.2">
      <c r="B203" s="9" t="s">
        <v>8104</v>
      </c>
      <c r="C203" s="15" t="s">
        <v>8105</v>
      </c>
      <c r="D203" s="12" t="str">
        <f>"1945-4589"</f>
        <v>1945-4589</v>
      </c>
      <c r="E203" s="5">
        <v>5.6820000000000004</v>
      </c>
      <c r="F203" s="5">
        <v>0.83</v>
      </c>
    </row>
    <row r="204" spans="2:6" x14ac:dyDescent="0.2">
      <c r="B204" s="9" t="s">
        <v>5698</v>
      </c>
      <c r="C204" s="15" t="s">
        <v>5742</v>
      </c>
      <c r="D204" s="12" t="str">
        <f>"0002-1482"</f>
        <v>0002-1482</v>
      </c>
      <c r="E204" s="5">
        <v>0.42899999999999999</v>
      </c>
      <c r="F204" s="5">
        <v>0.28699999999999998</v>
      </c>
    </row>
    <row r="205" spans="2:6" x14ac:dyDescent="0.2">
      <c r="B205" s="9" t="s">
        <v>5699</v>
      </c>
      <c r="C205" s="15" t="s">
        <v>5743</v>
      </c>
      <c r="D205" s="12" t="str">
        <f>"0889-048X"</f>
        <v>0889-048X</v>
      </c>
      <c r="E205" s="5">
        <v>3.2949999999999999</v>
      </c>
      <c r="F205" s="5">
        <v>0.94599999999999995</v>
      </c>
    </row>
    <row r="206" spans="2:6" x14ac:dyDescent="0.2">
      <c r="B206" s="9" t="s">
        <v>5700</v>
      </c>
      <c r="C206" s="15" t="s">
        <v>5700</v>
      </c>
      <c r="D206" s="12" t="str">
        <f>"0269-9370"</f>
        <v>0269-9370</v>
      </c>
      <c r="E206" s="5">
        <v>4.1769999999999996</v>
      </c>
      <c r="F206" s="5">
        <v>0.66300000000000003</v>
      </c>
    </row>
    <row r="207" spans="2:6" x14ac:dyDescent="0.2">
      <c r="B207" s="9" t="s">
        <v>1713</v>
      </c>
      <c r="C207" s="15" t="s">
        <v>1714</v>
      </c>
      <c r="D207" s="12" t="str">
        <f>"1090-7165"</f>
        <v>1090-7165</v>
      </c>
      <c r="E207" s="5">
        <v>3.895</v>
      </c>
      <c r="F207" s="5">
        <v>0.88600000000000001</v>
      </c>
    </row>
    <row r="208" spans="2:6" x14ac:dyDescent="0.2">
      <c r="B208" s="9" t="s">
        <v>1715</v>
      </c>
      <c r="C208" s="15" t="s">
        <v>1716</v>
      </c>
      <c r="D208" s="12" t="str">
        <f>"0954-0121"</f>
        <v>0954-0121</v>
      </c>
      <c r="E208" s="5">
        <v>2.3199999999999998</v>
      </c>
      <c r="F208" s="5">
        <v>0.54500000000000004</v>
      </c>
    </row>
    <row r="209" spans="2:6" x14ac:dyDescent="0.2">
      <c r="B209" s="9" t="s">
        <v>1717</v>
      </c>
      <c r="C209" s="15" t="s">
        <v>1718</v>
      </c>
      <c r="D209" s="12" t="str">
        <f>"0899-9546"</f>
        <v>0899-9546</v>
      </c>
      <c r="E209" s="5">
        <v>1.9039999999999999</v>
      </c>
      <c r="F209" s="5">
        <v>0.36399999999999999</v>
      </c>
    </row>
    <row r="210" spans="2:6" x14ac:dyDescent="0.2">
      <c r="B210" s="9" t="s">
        <v>5701</v>
      </c>
      <c r="C210" s="15" t="s">
        <v>5744</v>
      </c>
      <c r="D210" s="12" t="str">
        <f>"1087-2914"</f>
        <v>1087-2914</v>
      </c>
      <c r="E210" s="5">
        <v>5.0780000000000003</v>
      </c>
      <c r="F210" s="5">
        <v>0.89400000000000002</v>
      </c>
    </row>
    <row r="211" spans="2:6" x14ac:dyDescent="0.2">
      <c r="B211" s="9" t="s">
        <v>5702</v>
      </c>
      <c r="C211" s="15" t="s">
        <v>5745</v>
      </c>
      <c r="D211" s="12" t="str">
        <f>"0889-2229"</f>
        <v>0889-2229</v>
      </c>
      <c r="E211" s="5">
        <v>2.2050000000000001</v>
      </c>
      <c r="F211" s="5">
        <v>0.20699999999999999</v>
      </c>
    </row>
    <row r="212" spans="2:6" x14ac:dyDescent="0.2">
      <c r="B212" s="9" t="s">
        <v>8106</v>
      </c>
      <c r="C212" s="15" t="s">
        <v>8107</v>
      </c>
      <c r="D212" s="12" t="str">
        <f>"1742-6405"</f>
        <v>1742-6405</v>
      </c>
      <c r="E212" s="5">
        <v>2.25</v>
      </c>
      <c r="F212" s="5">
        <v>0.23899999999999999</v>
      </c>
    </row>
    <row r="213" spans="2:6" x14ac:dyDescent="0.2">
      <c r="B213" s="9" t="s">
        <v>5703</v>
      </c>
      <c r="C213" s="15" t="s">
        <v>5746</v>
      </c>
      <c r="D213" s="12" t="str">
        <f>"1139-6121"</f>
        <v>1139-6121</v>
      </c>
      <c r="E213" s="5">
        <v>2.5</v>
      </c>
      <c r="F213" s="5">
        <v>0.28299999999999997</v>
      </c>
    </row>
    <row r="214" spans="2:6" ht="25.5" x14ac:dyDescent="0.2">
      <c r="B214" s="9" t="s">
        <v>3095</v>
      </c>
      <c r="C214" s="15" t="s">
        <v>8108</v>
      </c>
      <c r="D214" s="12" t="str">
        <f>"0890-0604"</f>
        <v>0890-0604</v>
      </c>
      <c r="E214" s="5">
        <v>1.671</v>
      </c>
      <c r="F214" s="5">
        <v>0.36699999999999999</v>
      </c>
    </row>
    <row r="215" spans="2:6" x14ac:dyDescent="0.2">
      <c r="B215" s="9" t="s">
        <v>1719</v>
      </c>
      <c r="C215" s="15" t="s">
        <v>1720</v>
      </c>
      <c r="D215" s="12" t="str">
        <f>"1608-5906"</f>
        <v>1608-5906</v>
      </c>
      <c r="E215" s="5">
        <v>1.3</v>
      </c>
      <c r="F215" s="5">
        <v>0.14000000000000001</v>
      </c>
    </row>
    <row r="216" spans="2:6" x14ac:dyDescent="0.2">
      <c r="B216" s="9" t="s">
        <v>8109</v>
      </c>
      <c r="C216" s="15" t="s">
        <v>8110</v>
      </c>
      <c r="D216" s="12" t="str">
        <f>"1944-7515"</f>
        <v>1944-7515</v>
      </c>
      <c r="E216" s="5">
        <v>2.5</v>
      </c>
      <c r="F216" s="5">
        <v>0.68200000000000005</v>
      </c>
    </row>
    <row r="217" spans="2:6" x14ac:dyDescent="0.2">
      <c r="B217" s="9" t="s">
        <v>5704</v>
      </c>
      <c r="C217" s="15" t="s">
        <v>5747</v>
      </c>
      <c r="D217" s="12" t="str">
        <f>"0341-051X"</f>
        <v>0341-051X</v>
      </c>
      <c r="E217" s="5">
        <v>0.2</v>
      </c>
      <c r="F217" s="5">
        <v>2.9000000000000001E-2</v>
      </c>
    </row>
    <row r="218" spans="2:6" x14ac:dyDescent="0.2">
      <c r="B218" s="9" t="s">
        <v>5706</v>
      </c>
      <c r="C218" s="15" t="s">
        <v>5748</v>
      </c>
      <c r="D218" s="12" t="str">
        <f>"0001-7868"</f>
        <v>0001-7868</v>
      </c>
      <c r="E218" s="5">
        <v>0.65800000000000003</v>
      </c>
      <c r="F218" s="5">
        <v>4.4999999999999998E-2</v>
      </c>
    </row>
    <row r="219" spans="2:6" x14ac:dyDescent="0.2">
      <c r="B219" s="9" t="s">
        <v>5707</v>
      </c>
      <c r="C219" s="15" t="s">
        <v>5707</v>
      </c>
      <c r="D219" s="12" t="str">
        <f>"0741-8329"</f>
        <v>0741-8329</v>
      </c>
      <c r="E219" s="5">
        <v>2.4049999999999998</v>
      </c>
      <c r="F219" s="5">
        <v>0.317</v>
      </c>
    </row>
    <row r="220" spans="2:6" x14ac:dyDescent="0.2">
      <c r="B220" s="9" t="s">
        <v>1721</v>
      </c>
      <c r="C220" s="15" t="s">
        <v>1722</v>
      </c>
      <c r="D220" s="12" t="str">
        <f>"0735-0414"</f>
        <v>0735-0414</v>
      </c>
      <c r="E220" s="5">
        <v>2.8260000000000001</v>
      </c>
      <c r="F220" s="5">
        <v>0.46300000000000002</v>
      </c>
    </row>
    <row r="221" spans="2:6" x14ac:dyDescent="0.2">
      <c r="B221" s="9" t="s">
        <v>1723</v>
      </c>
      <c r="C221" s="15" t="s">
        <v>1724</v>
      </c>
      <c r="D221" s="12" t="str">
        <f>"0145-6008"</f>
        <v>0145-6008</v>
      </c>
      <c r="E221" s="5">
        <v>3.4550000000000001</v>
      </c>
      <c r="F221" s="5">
        <v>0.61</v>
      </c>
    </row>
    <row r="222" spans="2:6" x14ac:dyDescent="0.2">
      <c r="B222" s="9" t="s">
        <v>8111</v>
      </c>
      <c r="C222" s="15" t="s">
        <v>8112</v>
      </c>
      <c r="D222" s="12" t="str">
        <f>"1535-7414"</f>
        <v>1535-7414</v>
      </c>
      <c r="E222" s="5">
        <v>6.6669999999999998</v>
      </c>
      <c r="F222" s="5">
        <v>0.97599999999999998</v>
      </c>
    </row>
    <row r="223" spans="2:6" x14ac:dyDescent="0.2">
      <c r="B223" s="9" t="s">
        <v>5215</v>
      </c>
      <c r="C223" s="15" t="s">
        <v>5749</v>
      </c>
      <c r="D223" s="12" t="str">
        <f>"0002-5100"</f>
        <v>0002-5100</v>
      </c>
      <c r="E223" s="5">
        <v>3.6669999999999998</v>
      </c>
      <c r="F223" s="5">
        <v>0.73699999999999999</v>
      </c>
    </row>
    <row r="224" spans="2:6" x14ac:dyDescent="0.2">
      <c r="B224" s="9" t="s">
        <v>8113</v>
      </c>
      <c r="C224" s="15" t="s">
        <v>8114</v>
      </c>
      <c r="D224" s="12" t="str">
        <f>"1980-0436"</f>
        <v>1980-0436</v>
      </c>
      <c r="E224" s="5">
        <v>0.72</v>
      </c>
      <c r="F224" s="5">
        <v>8.7999999999999995E-2</v>
      </c>
    </row>
    <row r="225" spans="2:6" x14ac:dyDescent="0.2">
      <c r="B225" s="9" t="s">
        <v>8115</v>
      </c>
      <c r="C225" s="15" t="s">
        <v>8116</v>
      </c>
      <c r="D225" s="12" t="str">
        <f>"2211-9264"</f>
        <v>2211-9264</v>
      </c>
      <c r="E225" s="5">
        <v>4.4009999999999998</v>
      </c>
      <c r="F225" s="5">
        <v>0.71499999999999997</v>
      </c>
    </row>
    <row r="226" spans="2:6" x14ac:dyDescent="0.2">
      <c r="B226" s="9" t="s">
        <v>1725</v>
      </c>
      <c r="C226" s="15" t="s">
        <v>1726</v>
      </c>
      <c r="D226" s="12" t="str">
        <f>"1748-7188"</f>
        <v>1748-7188</v>
      </c>
      <c r="E226" s="5">
        <v>1.405</v>
      </c>
      <c r="F226" s="5">
        <v>0.13800000000000001</v>
      </c>
    </row>
    <row r="227" spans="2:6" x14ac:dyDescent="0.2">
      <c r="B227" s="9" t="s">
        <v>1727</v>
      </c>
      <c r="C227" s="15" t="s">
        <v>5750</v>
      </c>
      <c r="D227" s="12" t="str">
        <f>"0269-2813"</f>
        <v>0269-2813</v>
      </c>
      <c r="E227" s="5">
        <v>8.1709999999999994</v>
      </c>
      <c r="F227" s="5">
        <v>0.95599999999999996</v>
      </c>
    </row>
    <row r="228" spans="2:6" x14ac:dyDescent="0.2">
      <c r="B228" s="9" t="s">
        <v>1728</v>
      </c>
      <c r="C228" s="15" t="s">
        <v>1729</v>
      </c>
      <c r="D228" s="12" t="str">
        <f>"0301-0546"</f>
        <v>0301-0546</v>
      </c>
      <c r="E228" s="5">
        <v>1.667</v>
      </c>
      <c r="F228" s="5">
        <v>0.17899999999999999</v>
      </c>
    </row>
    <row r="229" spans="2:6" x14ac:dyDescent="0.2">
      <c r="B229" s="9" t="s">
        <v>8117</v>
      </c>
      <c r="C229" s="15" t="s">
        <v>8118</v>
      </c>
      <c r="D229" s="12" t="str">
        <f>"1440-1592"</f>
        <v>1440-1592</v>
      </c>
      <c r="E229" s="5">
        <v>5.8360000000000003</v>
      </c>
      <c r="F229" s="5">
        <v>0.72799999999999998</v>
      </c>
    </row>
    <row r="230" spans="2:6" x14ac:dyDescent="0.2">
      <c r="B230" s="9" t="s">
        <v>5216</v>
      </c>
      <c r="C230" s="15" t="s">
        <v>5216</v>
      </c>
      <c r="D230" s="12" t="str">
        <f>"0344-5062"</f>
        <v>0344-5062</v>
      </c>
      <c r="E230" s="5">
        <v>0.191</v>
      </c>
      <c r="F230" s="5">
        <v>3.5999999999999997E-2</v>
      </c>
    </row>
    <row r="231" spans="2:6" x14ac:dyDescent="0.2">
      <c r="B231" s="9" t="s">
        <v>5217</v>
      </c>
      <c r="C231" s="15" t="s">
        <v>5217</v>
      </c>
      <c r="D231" s="12" t="str">
        <f>"0105-4538"</f>
        <v>0105-4538</v>
      </c>
      <c r="E231" s="5">
        <v>13.146000000000001</v>
      </c>
      <c r="F231" s="5">
        <v>1</v>
      </c>
    </row>
    <row r="232" spans="2:6" x14ac:dyDescent="0.2">
      <c r="B232" s="9" t="s">
        <v>8119</v>
      </c>
      <c r="C232" s="15" t="s">
        <v>8120</v>
      </c>
      <c r="D232" s="12" t="str">
        <f>"1710-1492"</f>
        <v>1710-1492</v>
      </c>
      <c r="E232" s="5">
        <v>3.4060000000000001</v>
      </c>
      <c r="F232" s="5">
        <v>0.42899999999999999</v>
      </c>
    </row>
    <row r="233" spans="2:6" x14ac:dyDescent="0.2">
      <c r="B233" s="9" t="s">
        <v>8121</v>
      </c>
      <c r="C233" s="15" t="s">
        <v>8122</v>
      </c>
      <c r="D233" s="12" t="str">
        <f>"2092-7355"</f>
        <v>2092-7355</v>
      </c>
      <c r="E233" s="5">
        <v>5.7640000000000002</v>
      </c>
      <c r="F233" s="5">
        <v>0.71599999999999997</v>
      </c>
    </row>
    <row r="234" spans="2:6" x14ac:dyDescent="0.2">
      <c r="B234" s="9" t="s">
        <v>5218</v>
      </c>
      <c r="C234" s="15" t="s">
        <v>5751</v>
      </c>
      <c r="D234" s="12" t="str">
        <f>"1088-5412"</f>
        <v>1088-5412</v>
      </c>
      <c r="E234" s="5">
        <v>2.5870000000000002</v>
      </c>
      <c r="F234" s="5">
        <v>0.32100000000000001</v>
      </c>
    </row>
    <row r="235" spans="2:6" x14ac:dyDescent="0.2">
      <c r="B235" s="9" t="s">
        <v>8123</v>
      </c>
      <c r="C235" s="15" t="s">
        <v>8124</v>
      </c>
      <c r="D235" s="12" t="str">
        <f>"1078-6791"</f>
        <v>1078-6791</v>
      </c>
      <c r="E235" s="5">
        <v>1.3049999999999999</v>
      </c>
      <c r="F235" s="5">
        <v>0.214</v>
      </c>
    </row>
    <row r="236" spans="2:6" x14ac:dyDescent="0.2">
      <c r="B236" s="9" t="s">
        <v>8125</v>
      </c>
      <c r="C236" s="15" t="s">
        <v>8126</v>
      </c>
      <c r="D236" s="12" t="str">
        <f>"1868-596X"</f>
        <v>1868-596X</v>
      </c>
      <c r="E236" s="5">
        <v>6.0430000000000001</v>
      </c>
      <c r="F236" s="5">
        <v>0.77100000000000002</v>
      </c>
    </row>
    <row r="237" spans="2:6" x14ac:dyDescent="0.2">
      <c r="B237" s="9" t="s">
        <v>5219</v>
      </c>
      <c r="C237" s="15" t="s">
        <v>5752</v>
      </c>
      <c r="D237" s="12" t="str">
        <f>"0893-0341"</f>
        <v>0893-0341</v>
      </c>
      <c r="E237" s="5">
        <v>2.7029999999999998</v>
      </c>
      <c r="F237" s="5">
        <v>0.49399999999999999</v>
      </c>
    </row>
    <row r="238" spans="2:6" x14ac:dyDescent="0.2">
      <c r="B238" s="9" t="s">
        <v>1730</v>
      </c>
      <c r="C238" s="15" t="s">
        <v>1731</v>
      </c>
      <c r="D238" s="12" t="str">
        <f>"2352-8729"</f>
        <v>2352-8729</v>
      </c>
      <c r="E238" s="5">
        <v>21.565999999999999</v>
      </c>
      <c r="F238" s="5">
        <v>0.99</v>
      </c>
    </row>
    <row r="239" spans="2:6" x14ac:dyDescent="0.2">
      <c r="B239" s="9" t="s">
        <v>8127</v>
      </c>
      <c r="C239" s="15" t="s">
        <v>8128</v>
      </c>
      <c r="D239" s="12" t="str">
        <f>"1758-9193"</f>
        <v>1758-9193</v>
      </c>
      <c r="E239" s="5">
        <v>6.9820000000000002</v>
      </c>
      <c r="F239" s="5">
        <v>0.90400000000000003</v>
      </c>
    </row>
    <row r="240" spans="2:6" x14ac:dyDescent="0.2">
      <c r="B240" s="9" t="s">
        <v>1732</v>
      </c>
      <c r="C240" s="15" t="s">
        <v>1733</v>
      </c>
      <c r="D240" s="12" t="str">
        <f>"0002-726X"</f>
        <v>0002-726X</v>
      </c>
      <c r="E240" s="5">
        <v>0.872</v>
      </c>
      <c r="F240" s="5">
        <v>4.2000000000000003E-2</v>
      </c>
    </row>
    <row r="241" spans="2:6" x14ac:dyDescent="0.2">
      <c r="B241" s="9" t="s">
        <v>1734</v>
      </c>
      <c r="C241" s="15" t="s">
        <v>1735</v>
      </c>
      <c r="D241" s="12" t="str">
        <f>"0002-7642"</f>
        <v>0002-7642</v>
      </c>
      <c r="E241" s="5">
        <v>2.5579999999999998</v>
      </c>
      <c r="F241" s="5">
        <v>0.67900000000000005</v>
      </c>
    </row>
    <row r="242" spans="2:6" x14ac:dyDescent="0.2">
      <c r="B242" s="9" t="s">
        <v>8129</v>
      </c>
      <c r="C242" s="15" t="s">
        <v>8130</v>
      </c>
      <c r="D242" s="12" t="str">
        <f>"2191-0855"</f>
        <v>2191-0855</v>
      </c>
      <c r="E242" s="5">
        <v>3.298</v>
      </c>
      <c r="F242" s="5">
        <v>0.53800000000000003</v>
      </c>
    </row>
    <row r="243" spans="2:6" x14ac:dyDescent="0.2">
      <c r="B243" s="9" t="s">
        <v>5220</v>
      </c>
      <c r="C243" s="15" t="s">
        <v>5753</v>
      </c>
      <c r="D243" s="12" t="str">
        <f>"0002-7685"</f>
        <v>0002-7685</v>
      </c>
      <c r="E243" s="5">
        <v>0.34200000000000003</v>
      </c>
      <c r="F243" s="5">
        <v>4.2999999999999997E-2</v>
      </c>
    </row>
    <row r="244" spans="2:6" x14ac:dyDescent="0.2">
      <c r="B244" s="9" t="s">
        <v>8131</v>
      </c>
      <c r="C244" s="15" t="s">
        <v>8132</v>
      </c>
      <c r="D244" s="12" t="str">
        <f>"0002-6980"</f>
        <v>0002-6980</v>
      </c>
      <c r="E244" s="5">
        <v>0.75</v>
      </c>
      <c r="F244" s="5">
        <v>0.39200000000000002</v>
      </c>
    </row>
    <row r="245" spans="2:6" x14ac:dyDescent="0.2">
      <c r="B245" s="9" t="s">
        <v>5221</v>
      </c>
      <c r="C245" s="15" t="s">
        <v>5754</v>
      </c>
      <c r="D245" s="12" t="str">
        <f>"0002-838X"</f>
        <v>0002-838X</v>
      </c>
      <c r="E245" s="5">
        <v>3.2919999999999998</v>
      </c>
      <c r="F245" s="5">
        <v>0.88900000000000001</v>
      </c>
    </row>
    <row r="246" spans="2:6" x14ac:dyDescent="0.2">
      <c r="B246" s="9" t="s">
        <v>8133</v>
      </c>
      <c r="C246" s="15" t="s">
        <v>8134</v>
      </c>
      <c r="D246" s="12" t="str">
        <f>"1942-2962"</f>
        <v>1942-2962</v>
      </c>
      <c r="E246" s="5">
        <v>2.0699999999999998</v>
      </c>
      <c r="F246" s="5">
        <v>0.29499999999999998</v>
      </c>
    </row>
    <row r="247" spans="2:6" x14ac:dyDescent="0.2">
      <c r="B247" s="9" t="s">
        <v>5222</v>
      </c>
      <c r="C247" s="15" t="s">
        <v>5755</v>
      </c>
      <c r="D247" s="12" t="str">
        <f>"0002-8703"</f>
        <v>0002-8703</v>
      </c>
      <c r="E247" s="5">
        <v>4.7489999999999997</v>
      </c>
      <c r="F247" s="5">
        <v>0.68100000000000005</v>
      </c>
    </row>
    <row r="248" spans="2:6" x14ac:dyDescent="0.2">
      <c r="B248" s="9" t="s">
        <v>1736</v>
      </c>
      <c r="C248" s="15" t="s">
        <v>1737</v>
      </c>
      <c r="D248" s="12" t="str">
        <f>"1533-7731"</f>
        <v>1533-7731</v>
      </c>
      <c r="E248" s="5">
        <v>1.3240000000000001</v>
      </c>
      <c r="F248" s="5">
        <v>0.192</v>
      </c>
    </row>
    <row r="249" spans="2:6" x14ac:dyDescent="0.2">
      <c r="B249" s="9" t="s">
        <v>4906</v>
      </c>
      <c r="C249" s="15" t="s">
        <v>4906</v>
      </c>
      <c r="D249" s="12" t="str">
        <f>"0939-4451"</f>
        <v>0939-4451</v>
      </c>
      <c r="E249" s="5">
        <v>3.52</v>
      </c>
      <c r="F249" s="5">
        <v>0.41599999999999998</v>
      </c>
    </row>
    <row r="250" spans="2:6" x14ac:dyDescent="0.2">
      <c r="B250" s="9" t="s">
        <v>1738</v>
      </c>
      <c r="C250" s="15" t="s">
        <v>1739</v>
      </c>
      <c r="D250" s="12" t="str">
        <f>"1055-0496"</f>
        <v>1055-0496</v>
      </c>
      <c r="E250" s="5">
        <v>3.0760000000000001</v>
      </c>
      <c r="F250" s="5">
        <v>0.53700000000000003</v>
      </c>
    </row>
    <row r="251" spans="2:6" x14ac:dyDescent="0.2">
      <c r="B251" s="9" t="s">
        <v>8135</v>
      </c>
      <c r="C251" s="15" t="s">
        <v>8136</v>
      </c>
      <c r="D251" s="12" t="str">
        <f>"1533-3175"</f>
        <v>1533-3175</v>
      </c>
      <c r="E251" s="5">
        <v>2.0350000000000001</v>
      </c>
      <c r="F251" s="5">
        <v>0.221</v>
      </c>
    </row>
    <row r="252" spans="2:6" x14ac:dyDescent="0.2">
      <c r="B252" s="9" t="s">
        <v>8137</v>
      </c>
      <c r="C252" s="15" t="s">
        <v>8138</v>
      </c>
      <c r="D252" s="12" t="str">
        <f>"1059-0889"</f>
        <v>1059-0889</v>
      </c>
      <c r="E252" s="5">
        <v>1.4930000000000001</v>
      </c>
      <c r="F252" s="5">
        <v>0.20499999999999999</v>
      </c>
    </row>
    <row r="253" spans="2:6" x14ac:dyDescent="0.2">
      <c r="B253" s="9" t="s">
        <v>4838</v>
      </c>
      <c r="C253" s="15" t="s">
        <v>5756</v>
      </c>
      <c r="D253" s="12" t="str">
        <f>"1526-5161"</f>
        <v>1526-5161</v>
      </c>
      <c r="E253" s="5">
        <v>11.228999999999999</v>
      </c>
      <c r="F253" s="5">
        <v>1</v>
      </c>
    </row>
    <row r="254" spans="2:6" x14ac:dyDescent="0.2">
      <c r="B254" s="9" t="s">
        <v>8139</v>
      </c>
      <c r="C254" s="15" t="s">
        <v>8140</v>
      </c>
      <c r="D254" s="12" t="str">
        <f>"2156-6976"</f>
        <v>2156-6976</v>
      </c>
      <c r="E254" s="5">
        <v>6.1660000000000004</v>
      </c>
      <c r="F254" s="5">
        <v>0.73899999999999999</v>
      </c>
    </row>
    <row r="255" spans="2:6" x14ac:dyDescent="0.2">
      <c r="B255" s="9" t="s">
        <v>4839</v>
      </c>
      <c r="C255" s="15" t="s">
        <v>5757</v>
      </c>
      <c r="D255" s="12" t="str">
        <f>"0002-9149"</f>
        <v>0002-9149</v>
      </c>
      <c r="E255" s="5">
        <v>2.778</v>
      </c>
      <c r="F255" s="5">
        <v>0.44</v>
      </c>
    </row>
    <row r="256" spans="2:6" x14ac:dyDescent="0.2">
      <c r="B256" s="9" t="s">
        <v>1740</v>
      </c>
      <c r="C256" s="15" t="s">
        <v>1741</v>
      </c>
      <c r="D256" s="12" t="str">
        <f>"1179-187X"</f>
        <v>1179-187X</v>
      </c>
      <c r="E256" s="5">
        <v>3.5710000000000002</v>
      </c>
      <c r="F256" s="5">
        <v>0.56699999999999995</v>
      </c>
    </row>
    <row r="257" spans="2:6" x14ac:dyDescent="0.2">
      <c r="B257" s="9" t="s">
        <v>4840</v>
      </c>
      <c r="C257" s="15" t="s">
        <v>5758</v>
      </c>
      <c r="D257" s="12" t="str">
        <f>"0192-415X"</f>
        <v>0192-415X</v>
      </c>
      <c r="E257" s="5">
        <v>4.6669999999999998</v>
      </c>
      <c r="F257" s="5">
        <v>0.89300000000000002</v>
      </c>
    </row>
    <row r="258" spans="2:6" x14ac:dyDescent="0.2">
      <c r="B258" s="9" t="s">
        <v>4841</v>
      </c>
      <c r="C258" s="15" t="s">
        <v>5759</v>
      </c>
      <c r="D258" s="12" t="str">
        <f>"1175-0561"</f>
        <v>1175-0561</v>
      </c>
      <c r="E258" s="5">
        <v>7.4029999999999996</v>
      </c>
      <c r="F258" s="5">
        <v>0.94099999999999995</v>
      </c>
    </row>
    <row r="259" spans="2:6" x14ac:dyDescent="0.2">
      <c r="B259" s="9" t="s">
        <v>8141</v>
      </c>
      <c r="C259" s="15" t="s">
        <v>8142</v>
      </c>
      <c r="D259" s="12" t="str">
        <f>"0002-9157"</f>
        <v>0002-9157</v>
      </c>
      <c r="E259" s="5">
        <v>1.075</v>
      </c>
      <c r="F259" s="5">
        <v>0.14599999999999999</v>
      </c>
    </row>
    <row r="260" spans="2:6" x14ac:dyDescent="0.2">
      <c r="B260" s="9" t="s">
        <v>4842</v>
      </c>
      <c r="C260" s="15" t="s">
        <v>5760</v>
      </c>
      <c r="D260" s="12" t="str">
        <f>"0002-9165"</f>
        <v>0002-9165</v>
      </c>
      <c r="E260" s="5">
        <v>7.0449999999999999</v>
      </c>
      <c r="F260" s="5">
        <v>0.89800000000000002</v>
      </c>
    </row>
    <row r="261" spans="2:6" x14ac:dyDescent="0.2">
      <c r="B261" s="9" t="s">
        <v>4843</v>
      </c>
      <c r="C261" s="15" t="s">
        <v>5761</v>
      </c>
      <c r="D261" s="12" t="str">
        <f>"0277-3732"</f>
        <v>0277-3732</v>
      </c>
      <c r="E261" s="5">
        <v>2.339</v>
      </c>
      <c r="F261" s="5">
        <v>0.112</v>
      </c>
    </row>
    <row r="262" spans="2:6" x14ac:dyDescent="0.2">
      <c r="B262" s="9" t="s">
        <v>4844</v>
      </c>
      <c r="C262" s="15" t="s">
        <v>5762</v>
      </c>
      <c r="D262" s="12" t="str">
        <f>"0002-9173"</f>
        <v>0002-9173</v>
      </c>
      <c r="E262" s="5">
        <v>2.4929999999999999</v>
      </c>
      <c r="F262" s="5">
        <v>0.45500000000000002</v>
      </c>
    </row>
    <row r="263" spans="2:6" x14ac:dyDescent="0.2">
      <c r="B263" s="9" t="s">
        <v>1742</v>
      </c>
      <c r="C263" s="15" t="s">
        <v>1743</v>
      </c>
      <c r="D263" s="12" t="str">
        <f>"0091-0562"</f>
        <v>0091-0562</v>
      </c>
      <c r="E263" s="5">
        <v>3.5539999999999998</v>
      </c>
      <c r="F263" s="5">
        <v>0.95499999999999996</v>
      </c>
    </row>
    <row r="264" spans="2:6" x14ac:dyDescent="0.2">
      <c r="B264" s="9" t="s">
        <v>4845</v>
      </c>
      <c r="C264" s="15" t="s">
        <v>5763</v>
      </c>
      <c r="D264" s="12" t="str">
        <f>"1062-3264"</f>
        <v>1062-3264</v>
      </c>
      <c r="E264" s="5">
        <v>2.2280000000000002</v>
      </c>
      <c r="F264" s="5">
        <v>0.68300000000000005</v>
      </c>
    </row>
    <row r="265" spans="2:6" x14ac:dyDescent="0.2">
      <c r="B265" s="9" t="s">
        <v>4846</v>
      </c>
      <c r="C265" s="15" t="s">
        <v>5764</v>
      </c>
      <c r="D265" s="12" t="str">
        <f>"0894-8275"</f>
        <v>0894-8275</v>
      </c>
      <c r="E265" s="5">
        <v>1.522</v>
      </c>
      <c r="F265" s="5">
        <v>0.11</v>
      </c>
    </row>
    <row r="266" spans="2:6" x14ac:dyDescent="0.2">
      <c r="B266" s="9" t="s">
        <v>4847</v>
      </c>
      <c r="C266" s="15" t="s">
        <v>5765</v>
      </c>
      <c r="D266" s="12" t="str">
        <f>"0193-1091"</f>
        <v>0193-1091</v>
      </c>
      <c r="E266" s="5">
        <v>1.5329999999999999</v>
      </c>
      <c r="F266" s="5">
        <v>0.16200000000000001</v>
      </c>
    </row>
    <row r="267" spans="2:6" x14ac:dyDescent="0.2">
      <c r="B267" s="9" t="s">
        <v>1744</v>
      </c>
      <c r="C267" s="15" t="s">
        <v>1745</v>
      </c>
      <c r="D267" s="12" t="str">
        <f>"0095-2990"</f>
        <v>0095-2990</v>
      </c>
      <c r="E267" s="5">
        <v>3.8290000000000002</v>
      </c>
      <c r="F267" s="5">
        <v>0.75600000000000001</v>
      </c>
    </row>
    <row r="268" spans="2:6" x14ac:dyDescent="0.2">
      <c r="B268" s="9" t="s">
        <v>4848</v>
      </c>
      <c r="C268" s="15" t="s">
        <v>5766</v>
      </c>
      <c r="D268" s="12" t="str">
        <f>"0735-6757"</f>
        <v>0735-6757</v>
      </c>
      <c r="E268" s="5">
        <v>2.4689999999999999</v>
      </c>
      <c r="F268" s="5">
        <v>0.625</v>
      </c>
    </row>
    <row r="269" spans="2:6" x14ac:dyDescent="0.2">
      <c r="B269" s="9" t="s">
        <v>4849</v>
      </c>
      <c r="C269" s="15" t="s">
        <v>5767</v>
      </c>
      <c r="D269" s="12" t="str">
        <f>"0002-9254"</f>
        <v>0002-9254</v>
      </c>
      <c r="E269" s="5">
        <v>2.2530000000000001</v>
      </c>
      <c r="F269" s="5">
        <v>0.75700000000000001</v>
      </c>
    </row>
    <row r="270" spans="2:6" x14ac:dyDescent="0.2">
      <c r="B270" s="9" t="s">
        <v>4850</v>
      </c>
      <c r="C270" s="15" t="s">
        <v>5768</v>
      </c>
      <c r="D270" s="12" t="str">
        <f>"0002-9262"</f>
        <v>0002-9262</v>
      </c>
      <c r="E270" s="5">
        <v>4.8970000000000002</v>
      </c>
      <c r="F270" s="5">
        <v>0.874</v>
      </c>
    </row>
    <row r="271" spans="2:6" x14ac:dyDescent="0.2">
      <c r="B271" s="9" t="s">
        <v>1746</v>
      </c>
      <c r="C271" s="15" t="s">
        <v>1747</v>
      </c>
      <c r="D271" s="12" t="str">
        <f>"1098-2140"</f>
        <v>1098-2140</v>
      </c>
      <c r="E271" s="5">
        <v>1.9670000000000001</v>
      </c>
      <c r="F271" s="5">
        <v>0.51400000000000001</v>
      </c>
    </row>
    <row r="272" spans="2:6" x14ac:dyDescent="0.2">
      <c r="B272" s="9" t="s">
        <v>1748</v>
      </c>
      <c r="C272" s="15" t="s">
        <v>1749</v>
      </c>
      <c r="D272" s="12" t="str">
        <f>"0192-6187"</f>
        <v>0192-6187</v>
      </c>
      <c r="E272" s="5">
        <v>0.94699999999999995</v>
      </c>
      <c r="F272" s="5">
        <v>0.152</v>
      </c>
    </row>
    <row r="273" spans="2:6" x14ac:dyDescent="0.2">
      <c r="B273" s="9" t="s">
        <v>4851</v>
      </c>
      <c r="C273" s="15" t="s">
        <v>5769</v>
      </c>
      <c r="D273" s="12" t="str">
        <f>"0195-7910"</f>
        <v>0195-7910</v>
      </c>
      <c r="E273" s="5">
        <v>0.92100000000000004</v>
      </c>
      <c r="F273" s="5">
        <v>0.17599999999999999</v>
      </c>
    </row>
    <row r="274" spans="2:6" x14ac:dyDescent="0.2">
      <c r="B274" s="9" t="s">
        <v>4852</v>
      </c>
      <c r="C274" s="15" t="s">
        <v>5770</v>
      </c>
      <c r="D274" s="12" t="str">
        <f>"0002-9270"</f>
        <v>0002-9270</v>
      </c>
      <c r="E274" s="5">
        <v>10.864000000000001</v>
      </c>
      <c r="F274" s="5">
        <v>0.91300000000000003</v>
      </c>
    </row>
    <row r="275" spans="2:6" x14ac:dyDescent="0.2">
      <c r="B275" s="9" t="s">
        <v>4853</v>
      </c>
      <c r="C275" s="15" t="s">
        <v>5771</v>
      </c>
      <c r="D275" s="12" t="str">
        <f>"1064-7481"</f>
        <v>1064-7481</v>
      </c>
      <c r="E275" s="5">
        <v>4.1050000000000004</v>
      </c>
      <c r="F275" s="5">
        <v>0.91700000000000004</v>
      </c>
    </row>
    <row r="276" spans="2:6" x14ac:dyDescent="0.2">
      <c r="B276" s="9" t="s">
        <v>1750</v>
      </c>
      <c r="C276" s="15" t="s">
        <v>1751</v>
      </c>
      <c r="D276" s="12" t="str">
        <f>"1945-7359"</f>
        <v>1945-7359</v>
      </c>
      <c r="E276" s="5">
        <v>1.97</v>
      </c>
      <c r="F276" s="5">
        <v>0.34100000000000003</v>
      </c>
    </row>
    <row r="277" spans="2:6" x14ac:dyDescent="0.2">
      <c r="B277" s="9" t="s">
        <v>8143</v>
      </c>
      <c r="C277" s="15" t="s">
        <v>8144</v>
      </c>
      <c r="D277" s="12" t="str">
        <f>"2332-3493"</f>
        <v>2332-3493</v>
      </c>
      <c r="E277" s="5">
        <v>2.641</v>
      </c>
      <c r="F277" s="5">
        <v>0.69299999999999995</v>
      </c>
    </row>
    <row r="278" spans="2:6" x14ac:dyDescent="0.2">
      <c r="B278" s="9" t="s">
        <v>1752</v>
      </c>
      <c r="C278" s="15" t="s">
        <v>1753</v>
      </c>
      <c r="D278" s="12" t="str">
        <f>"0890-1171"</f>
        <v>0890-1171</v>
      </c>
      <c r="E278" s="5">
        <v>2.87</v>
      </c>
      <c r="F278" s="5">
        <v>0.60799999999999998</v>
      </c>
    </row>
    <row r="279" spans="2:6" x14ac:dyDescent="0.2">
      <c r="B279" s="9" t="s">
        <v>4854</v>
      </c>
      <c r="C279" s="15" t="s">
        <v>5772</v>
      </c>
      <c r="D279" s="12" t="str">
        <f>"1079-2082"</f>
        <v>1079-2082</v>
      </c>
      <c r="E279" s="5">
        <v>2.637</v>
      </c>
      <c r="F279" s="5">
        <v>0.32400000000000001</v>
      </c>
    </row>
    <row r="280" spans="2:6" x14ac:dyDescent="0.2">
      <c r="B280" s="9" t="s">
        <v>4855</v>
      </c>
      <c r="C280" s="15" t="s">
        <v>5773</v>
      </c>
      <c r="D280" s="12" t="str">
        <f>"0361-8609"</f>
        <v>0361-8609</v>
      </c>
      <c r="E280" s="5">
        <v>10.047000000000001</v>
      </c>
      <c r="F280" s="5">
        <v>0.92100000000000004</v>
      </c>
    </row>
    <row r="281" spans="2:6" x14ac:dyDescent="0.2">
      <c r="B281" s="9" t="s">
        <v>8145</v>
      </c>
      <c r="C281" s="15" t="s">
        <v>8146</v>
      </c>
      <c r="D281" s="12" t="str">
        <f>"1049-9091"</f>
        <v>1049-9091</v>
      </c>
      <c r="E281" s="5">
        <v>2.5</v>
      </c>
      <c r="F281" s="5">
        <v>0.40200000000000002</v>
      </c>
    </row>
    <row r="282" spans="2:6" x14ac:dyDescent="0.2">
      <c r="B282" s="9" t="s">
        <v>4856</v>
      </c>
      <c r="C282" s="15" t="s">
        <v>5774</v>
      </c>
      <c r="D282" s="12" t="str">
        <f>"1042-0533"</f>
        <v>1042-0533</v>
      </c>
      <c r="E282" s="5">
        <v>1.9370000000000001</v>
      </c>
      <c r="F282" s="5">
        <v>0.64800000000000002</v>
      </c>
    </row>
    <row r="283" spans="2:6" x14ac:dyDescent="0.2">
      <c r="B283" s="9" t="s">
        <v>4857</v>
      </c>
      <c r="C283" s="15" t="s">
        <v>5775</v>
      </c>
      <c r="D283" s="12" t="str">
        <f>"0002-9297"</f>
        <v>0002-9297</v>
      </c>
      <c r="E283" s="5">
        <v>11.025</v>
      </c>
      <c r="F283" s="5">
        <v>0.94299999999999995</v>
      </c>
    </row>
    <row r="284" spans="2:6" x14ac:dyDescent="0.2">
      <c r="B284" s="9" t="s">
        <v>4858</v>
      </c>
      <c r="C284" s="15" t="s">
        <v>5776</v>
      </c>
      <c r="D284" s="12" t="str">
        <f>"0895-7061"</f>
        <v>0895-7061</v>
      </c>
      <c r="E284" s="5">
        <v>2.6890000000000001</v>
      </c>
      <c r="F284" s="5">
        <v>0.38500000000000001</v>
      </c>
    </row>
    <row r="285" spans="2:6" x14ac:dyDescent="0.2">
      <c r="B285" s="9" t="s">
        <v>4859</v>
      </c>
      <c r="C285" s="15" t="s">
        <v>5777</v>
      </c>
      <c r="D285" s="12" t="str">
        <f>"0271-3586"</f>
        <v>0271-3586</v>
      </c>
      <c r="E285" s="5">
        <v>2.214</v>
      </c>
      <c r="F285" s="5">
        <v>0.42299999999999999</v>
      </c>
    </row>
    <row r="286" spans="2:6" x14ac:dyDescent="0.2">
      <c r="B286" s="9" t="s">
        <v>4860</v>
      </c>
      <c r="C286" s="15" t="s">
        <v>5778</v>
      </c>
      <c r="D286" s="12" t="str">
        <f>"0196-6553"</f>
        <v>0196-6553</v>
      </c>
      <c r="E286" s="5">
        <v>2.9180000000000001</v>
      </c>
      <c r="F286" s="5">
        <v>0.621</v>
      </c>
    </row>
    <row r="287" spans="2:6" x14ac:dyDescent="0.2">
      <c r="B287" s="9" t="s">
        <v>4861</v>
      </c>
      <c r="C287" s="15" t="s">
        <v>5779</v>
      </c>
      <c r="D287" s="12" t="str">
        <f>"0272-6386"</f>
        <v>0272-6386</v>
      </c>
      <c r="E287" s="5">
        <v>8.86</v>
      </c>
      <c r="F287" s="5">
        <v>0.93300000000000005</v>
      </c>
    </row>
    <row r="288" spans="2:6" x14ac:dyDescent="0.2">
      <c r="B288" s="9" t="s">
        <v>4862</v>
      </c>
      <c r="C288" s="15" t="s">
        <v>5780</v>
      </c>
      <c r="D288" s="12" t="str">
        <f>"1088-0224"</f>
        <v>1088-0224</v>
      </c>
      <c r="E288" s="5">
        <v>2.2290000000000001</v>
      </c>
      <c r="F288" s="5">
        <v>0.47299999999999998</v>
      </c>
    </row>
    <row r="289" spans="2:6" x14ac:dyDescent="0.2">
      <c r="B289" s="9" t="s">
        <v>4863</v>
      </c>
      <c r="C289" s="15" t="s">
        <v>5781</v>
      </c>
      <c r="D289" s="12" t="str">
        <f>"0002-9343"</f>
        <v>0002-9343</v>
      </c>
      <c r="E289" s="5">
        <v>4.9649999999999999</v>
      </c>
      <c r="F289" s="5">
        <v>0.82599999999999996</v>
      </c>
    </row>
    <row r="290" spans="2:6" x14ac:dyDescent="0.2">
      <c r="B290" s="9" t="s">
        <v>4864</v>
      </c>
      <c r="C290" s="15" t="s">
        <v>5782</v>
      </c>
      <c r="D290" s="12" t="str">
        <f>"1552-4825"</f>
        <v>1552-4825</v>
      </c>
      <c r="E290" s="5">
        <v>2.802</v>
      </c>
      <c r="F290" s="5">
        <v>0.41699999999999998</v>
      </c>
    </row>
    <row r="291" spans="2:6" ht="25.5" x14ac:dyDescent="0.2">
      <c r="B291" s="9" t="s">
        <v>4865</v>
      </c>
      <c r="C291" s="15" t="s">
        <v>5783</v>
      </c>
      <c r="D291" s="12" t="str">
        <f>"1552-4841"</f>
        <v>1552-4841</v>
      </c>
      <c r="E291" s="5">
        <v>3.5680000000000001</v>
      </c>
      <c r="F291" s="5">
        <v>0.63400000000000001</v>
      </c>
    </row>
    <row r="292" spans="2:6" ht="25.5" x14ac:dyDescent="0.2">
      <c r="B292" s="9" t="s">
        <v>4866</v>
      </c>
      <c r="C292" s="15" t="s">
        <v>5784</v>
      </c>
      <c r="D292" s="12" t="str">
        <f>"1552-4868"</f>
        <v>1552-4868</v>
      </c>
      <c r="E292" s="5">
        <v>3.9079999999999999</v>
      </c>
      <c r="F292" s="5">
        <v>0.6</v>
      </c>
    </row>
    <row r="293" spans="2:6" x14ac:dyDescent="0.2">
      <c r="B293" s="9" t="s">
        <v>4867</v>
      </c>
      <c r="C293" s="15" t="s">
        <v>4564</v>
      </c>
      <c r="D293" s="12" t="str">
        <f>"1062-8606"</f>
        <v>1062-8606</v>
      </c>
      <c r="E293" s="5">
        <v>1.8520000000000001</v>
      </c>
      <c r="F293" s="5">
        <v>0.159</v>
      </c>
    </row>
    <row r="294" spans="2:6" x14ac:dyDescent="0.2">
      <c r="B294" s="9" t="s">
        <v>4868</v>
      </c>
      <c r="C294" s="15" t="s">
        <v>4565</v>
      </c>
      <c r="D294" s="12" t="str">
        <f>"0002-9629"</f>
        <v>0002-9629</v>
      </c>
      <c r="E294" s="5">
        <v>2.3780000000000001</v>
      </c>
      <c r="F294" s="5">
        <v>0.503</v>
      </c>
    </row>
    <row r="295" spans="2:6" x14ac:dyDescent="0.2">
      <c r="B295" s="9" t="s">
        <v>8147</v>
      </c>
      <c r="C295" s="15" t="s">
        <v>8148</v>
      </c>
      <c r="D295" s="12" t="str">
        <f>"1557-9883"</f>
        <v>1557-9883</v>
      </c>
      <c r="E295" s="5">
        <v>2.8039999999999998</v>
      </c>
      <c r="F295" s="5">
        <v>0.59</v>
      </c>
    </row>
    <row r="296" spans="2:6" x14ac:dyDescent="0.2">
      <c r="B296" s="9" t="s">
        <v>4869</v>
      </c>
      <c r="C296" s="15" t="s">
        <v>4566</v>
      </c>
      <c r="D296" s="12" t="str">
        <f>"0250-8095"</f>
        <v>0250-8095</v>
      </c>
      <c r="E296" s="5">
        <v>3.754</v>
      </c>
      <c r="F296" s="5">
        <v>0.71899999999999997</v>
      </c>
    </row>
    <row r="297" spans="2:6" x14ac:dyDescent="0.2">
      <c r="B297" s="9" t="s">
        <v>4870</v>
      </c>
      <c r="C297" s="15" t="s">
        <v>4567</v>
      </c>
      <c r="D297" s="12" t="str">
        <f>"0195-6108"</f>
        <v>0195-6108</v>
      </c>
      <c r="E297" s="5">
        <v>3.8250000000000002</v>
      </c>
      <c r="F297" s="5">
        <v>0.70699999999999996</v>
      </c>
    </row>
    <row r="298" spans="2:6" x14ac:dyDescent="0.2">
      <c r="B298" s="9" t="s">
        <v>4871</v>
      </c>
      <c r="C298" s="15" t="s">
        <v>4568</v>
      </c>
      <c r="D298" s="12" t="str">
        <f>"0002-936X"</f>
        <v>0002-936X</v>
      </c>
      <c r="E298" s="5">
        <v>2.2200000000000002</v>
      </c>
      <c r="F298" s="5">
        <v>0.66700000000000004</v>
      </c>
    </row>
    <row r="299" spans="2:6" x14ac:dyDescent="0.2">
      <c r="B299" s="9" t="s">
        <v>4872</v>
      </c>
      <c r="C299" s="15" t="s">
        <v>4569</v>
      </c>
      <c r="D299" s="12" t="str">
        <f>"0002-9378"</f>
        <v>0002-9378</v>
      </c>
      <c r="E299" s="5">
        <v>8.6609999999999996</v>
      </c>
      <c r="F299" s="5">
        <v>0.98799999999999999</v>
      </c>
    </row>
    <row r="300" spans="2:6" x14ac:dyDescent="0.2">
      <c r="B300" s="9" t="s">
        <v>1754</v>
      </c>
      <c r="C300" s="15" t="s">
        <v>1755</v>
      </c>
      <c r="D300" s="12" t="str">
        <f>"0272-9490"</f>
        <v>0272-9490</v>
      </c>
      <c r="E300" s="5">
        <v>2.246</v>
      </c>
      <c r="F300" s="5">
        <v>0.52100000000000002</v>
      </c>
    </row>
    <row r="301" spans="2:6" x14ac:dyDescent="0.2">
      <c r="B301" s="9" t="s">
        <v>4873</v>
      </c>
      <c r="C301" s="15" t="s">
        <v>4570</v>
      </c>
      <c r="D301" s="12" t="str">
        <f>"0002-9394"</f>
        <v>0002-9394</v>
      </c>
      <c r="E301" s="5">
        <v>5.258</v>
      </c>
      <c r="F301" s="5">
        <v>0.91900000000000004</v>
      </c>
    </row>
    <row r="302" spans="2:6" x14ac:dyDescent="0.2">
      <c r="B302" s="9" t="s">
        <v>4874</v>
      </c>
      <c r="C302" s="15" t="s">
        <v>4571</v>
      </c>
      <c r="D302" s="12" t="str">
        <f>"0889-5406"</f>
        <v>0889-5406</v>
      </c>
      <c r="E302" s="5">
        <v>2.65</v>
      </c>
      <c r="F302" s="5">
        <v>0.58199999999999996</v>
      </c>
    </row>
    <row r="303" spans="2:6" x14ac:dyDescent="0.2">
      <c r="B303" s="9" t="s">
        <v>4875</v>
      </c>
      <c r="C303" s="15" t="s">
        <v>4572</v>
      </c>
      <c r="D303" s="12" t="str">
        <f>"0002-9432"</f>
        <v>0002-9432</v>
      </c>
      <c r="E303" s="5">
        <v>2.3639999999999999</v>
      </c>
      <c r="F303" s="5">
        <v>0.77300000000000002</v>
      </c>
    </row>
    <row r="304" spans="2:6" x14ac:dyDescent="0.2">
      <c r="B304" s="9" t="s">
        <v>4876</v>
      </c>
      <c r="C304" s="15" t="s">
        <v>4573</v>
      </c>
      <c r="D304" s="12" t="str">
        <f>"0196-0709"</f>
        <v>0196-0709</v>
      </c>
      <c r="E304" s="5">
        <v>1.8080000000000001</v>
      </c>
      <c r="F304" s="5">
        <v>0.36399999999999999</v>
      </c>
    </row>
    <row r="305" spans="2:6" x14ac:dyDescent="0.2">
      <c r="B305" s="9" t="s">
        <v>4877</v>
      </c>
      <c r="C305" s="15" t="s">
        <v>4574</v>
      </c>
      <c r="D305" s="12" t="str">
        <f>"0002-9440"</f>
        <v>0002-9440</v>
      </c>
      <c r="E305" s="5">
        <v>4.3070000000000004</v>
      </c>
      <c r="F305" s="5">
        <v>0.74</v>
      </c>
    </row>
    <row r="306" spans="2:6" x14ac:dyDescent="0.2">
      <c r="B306" s="9" t="s">
        <v>4878</v>
      </c>
      <c r="C306" s="15" t="s">
        <v>4575</v>
      </c>
      <c r="D306" s="12" t="str">
        <f>"0735-1631"</f>
        <v>0735-1631</v>
      </c>
      <c r="E306" s="5">
        <v>1.8620000000000001</v>
      </c>
      <c r="F306" s="5">
        <v>0.34899999999999998</v>
      </c>
    </row>
    <row r="307" spans="2:6" x14ac:dyDescent="0.2">
      <c r="B307" s="9" t="s">
        <v>4879</v>
      </c>
      <c r="C307" s="15" t="s">
        <v>4576</v>
      </c>
      <c r="D307" s="12" t="str">
        <f>"0002-9459"</f>
        <v>0002-9459</v>
      </c>
      <c r="E307" s="5">
        <v>2.0470000000000002</v>
      </c>
      <c r="F307" s="5">
        <v>0.372</v>
      </c>
    </row>
    <row r="308" spans="2:6" x14ac:dyDescent="0.2">
      <c r="B308" s="9" t="s">
        <v>4880</v>
      </c>
      <c r="C308" s="15" t="s">
        <v>4577</v>
      </c>
      <c r="D308" s="12" t="str">
        <f>"0002-9505"</f>
        <v>0002-9505</v>
      </c>
      <c r="E308" s="5">
        <v>1.022</v>
      </c>
      <c r="F308" s="5">
        <v>0.224</v>
      </c>
    </row>
    <row r="309" spans="2:6" x14ac:dyDescent="0.2">
      <c r="B309" s="9" t="s">
        <v>4882</v>
      </c>
      <c r="C309" s="15" t="s">
        <v>4579</v>
      </c>
      <c r="D309" s="12" t="str">
        <f>"0363-6143"</f>
        <v>0363-6143</v>
      </c>
      <c r="E309" s="5">
        <v>4.2489999999999997</v>
      </c>
      <c r="F309" s="5">
        <v>0.81499999999999995</v>
      </c>
    </row>
    <row r="310" spans="2:6" x14ac:dyDescent="0.2">
      <c r="B310" s="9" t="s">
        <v>4883</v>
      </c>
      <c r="C310" s="15" t="s">
        <v>4580</v>
      </c>
      <c r="D310" s="12" t="str">
        <f>"0193-1849"</f>
        <v>0193-1849</v>
      </c>
      <c r="E310" s="5">
        <v>4.3099999999999996</v>
      </c>
      <c r="F310" s="5">
        <v>0.82699999999999996</v>
      </c>
    </row>
    <row r="311" spans="2:6" ht="25.5" x14ac:dyDescent="0.2">
      <c r="B311" s="9" t="s">
        <v>4884</v>
      </c>
      <c r="C311" s="15" t="s">
        <v>4581</v>
      </c>
      <c r="D311" s="12" t="str">
        <f>"0193-1857"</f>
        <v>0193-1857</v>
      </c>
      <c r="E311" s="5">
        <v>4.0519999999999996</v>
      </c>
      <c r="F311" s="5">
        <v>0.76500000000000001</v>
      </c>
    </row>
    <row r="312" spans="2:6" x14ac:dyDescent="0.2">
      <c r="B312" s="9" t="s">
        <v>4885</v>
      </c>
      <c r="C312" s="15" t="s">
        <v>4582</v>
      </c>
      <c r="D312" s="12" t="str">
        <f>"0363-6135"</f>
        <v>0363-6135</v>
      </c>
      <c r="E312" s="5">
        <v>4.7329999999999997</v>
      </c>
      <c r="F312" s="5">
        <v>0.85199999999999998</v>
      </c>
    </row>
    <row r="313" spans="2:6" ht="25.5" x14ac:dyDescent="0.2">
      <c r="B313" s="9" t="s">
        <v>4886</v>
      </c>
      <c r="C313" s="15" t="s">
        <v>4583</v>
      </c>
      <c r="D313" s="12" t="str">
        <f>"1040-0605"</f>
        <v>1040-0605</v>
      </c>
      <c r="E313" s="5">
        <v>5.4640000000000004</v>
      </c>
      <c r="F313" s="5">
        <v>0.877</v>
      </c>
    </row>
    <row r="314" spans="2:6" ht="25.5" x14ac:dyDescent="0.2">
      <c r="B314" s="9" t="s">
        <v>4887</v>
      </c>
      <c r="C314" s="15" t="s">
        <v>8149</v>
      </c>
      <c r="D314" s="12" t="str">
        <f>"0363-6119"</f>
        <v>0363-6119</v>
      </c>
      <c r="E314" s="5">
        <v>3.6190000000000002</v>
      </c>
      <c r="F314" s="5">
        <v>0.66700000000000004</v>
      </c>
    </row>
    <row r="315" spans="2:6" x14ac:dyDescent="0.2">
      <c r="B315" s="9" t="s">
        <v>4888</v>
      </c>
      <c r="C315" s="15" t="s">
        <v>4584</v>
      </c>
      <c r="D315" s="12" t="str">
        <f>"1931-857X"</f>
        <v>1931-857X</v>
      </c>
      <c r="E315" s="5">
        <v>3.3769999999999998</v>
      </c>
      <c r="F315" s="5">
        <v>0.64200000000000002</v>
      </c>
    </row>
    <row r="316" spans="2:6" x14ac:dyDescent="0.2">
      <c r="B316" s="9" t="s">
        <v>4881</v>
      </c>
      <c r="C316" s="15" t="s">
        <v>4578</v>
      </c>
      <c r="D316" s="12" t="str">
        <f>"0894-9115"</f>
        <v>0894-9115</v>
      </c>
      <c r="E316" s="5">
        <v>2.1589999999999998</v>
      </c>
      <c r="F316" s="5">
        <v>0.504</v>
      </c>
    </row>
    <row r="317" spans="2:6" x14ac:dyDescent="0.2">
      <c r="B317" s="9" t="s">
        <v>4889</v>
      </c>
      <c r="C317" s="15" t="s">
        <v>4585</v>
      </c>
      <c r="D317" s="12" t="str">
        <f>"0749-3797"</f>
        <v>0749-3797</v>
      </c>
      <c r="E317" s="5">
        <v>5.0430000000000001</v>
      </c>
      <c r="F317" s="5">
        <v>0.89100000000000001</v>
      </c>
    </row>
    <row r="318" spans="2:6" x14ac:dyDescent="0.2">
      <c r="B318" s="9" t="s">
        <v>4890</v>
      </c>
      <c r="C318" s="15" t="s">
        <v>4586</v>
      </c>
      <c r="D318" s="12" t="str">
        <f>"0002-953X"</f>
        <v>0002-953X</v>
      </c>
      <c r="E318" s="5">
        <v>18.111999999999998</v>
      </c>
      <c r="F318" s="5">
        <v>0.98599999999999999</v>
      </c>
    </row>
    <row r="319" spans="2:6" x14ac:dyDescent="0.2">
      <c r="B319" s="9" t="s">
        <v>1756</v>
      </c>
      <c r="C319" s="15" t="s">
        <v>1757</v>
      </c>
      <c r="D319" s="12" t="str">
        <f>"0002-9556"</f>
        <v>0002-9556</v>
      </c>
      <c r="E319" s="5">
        <v>1.085</v>
      </c>
      <c r="F319" s="5">
        <v>0.20100000000000001</v>
      </c>
    </row>
    <row r="320" spans="2:6" x14ac:dyDescent="0.2">
      <c r="B320" s="9" t="s">
        <v>4891</v>
      </c>
      <c r="C320" s="15" t="s">
        <v>4587</v>
      </c>
      <c r="D320" s="12" t="str">
        <f>"0090-0036"</f>
        <v>0090-0036</v>
      </c>
      <c r="E320" s="5">
        <v>9.3079999999999998</v>
      </c>
      <c r="F320" s="5">
        <v>0.96899999999999997</v>
      </c>
    </row>
    <row r="321" spans="2:6" x14ac:dyDescent="0.2">
      <c r="B321" s="9" t="s">
        <v>4892</v>
      </c>
      <c r="C321" s="15" t="s">
        <v>4588</v>
      </c>
      <c r="D321" s="12" t="str">
        <f>"1046-7408"</f>
        <v>1046-7408</v>
      </c>
      <c r="E321" s="5">
        <v>3.8860000000000001</v>
      </c>
      <c r="F321" s="5">
        <v>0.7</v>
      </c>
    </row>
    <row r="322" spans="2:6" x14ac:dyDescent="0.2">
      <c r="B322" s="9" t="s">
        <v>4893</v>
      </c>
      <c r="C322" s="15" t="s">
        <v>4589</v>
      </c>
      <c r="D322" s="12" t="str">
        <f>"1044-1549"</f>
        <v>1044-1549</v>
      </c>
      <c r="E322" s="5">
        <v>6.9139999999999997</v>
      </c>
      <c r="F322" s="5">
        <v>0.875</v>
      </c>
    </row>
    <row r="323" spans="2:6" x14ac:dyDescent="0.2">
      <c r="B323" s="9" t="s">
        <v>4894</v>
      </c>
      <c r="C323" s="15" t="s">
        <v>4590</v>
      </c>
      <c r="D323" s="12" t="str">
        <f>"1073-449X"</f>
        <v>1073-449X</v>
      </c>
      <c r="E323" s="5">
        <v>21.405000000000001</v>
      </c>
      <c r="F323" s="5">
        <v>0.98399999999999999</v>
      </c>
    </row>
    <row r="324" spans="2:6" x14ac:dyDescent="0.2">
      <c r="B324" s="9" t="s">
        <v>1758</v>
      </c>
      <c r="C324" s="15" t="s">
        <v>8150</v>
      </c>
      <c r="D324" s="12" t="str">
        <f>"1945-8924"</f>
        <v>1945-8924</v>
      </c>
      <c r="E324" s="5">
        <v>2.4670000000000001</v>
      </c>
      <c r="F324" s="5">
        <v>0.65900000000000003</v>
      </c>
    </row>
    <row r="325" spans="2:6" x14ac:dyDescent="0.2">
      <c r="B325" s="9" t="s">
        <v>4895</v>
      </c>
      <c r="C325" s="15" t="s">
        <v>4591</v>
      </c>
      <c r="D325" s="12" t="str">
        <f>"0361-803X"</f>
        <v>0361-803X</v>
      </c>
      <c r="E325" s="5">
        <v>3.9590000000000001</v>
      </c>
      <c r="F325" s="5">
        <v>0.73699999999999999</v>
      </c>
    </row>
    <row r="326" spans="2:6" x14ac:dyDescent="0.2">
      <c r="B326" s="9" t="s">
        <v>1759</v>
      </c>
      <c r="C326" s="15" t="s">
        <v>1760</v>
      </c>
      <c r="D326" s="12" t="str">
        <f>"1058-0360"</f>
        <v>1058-0360</v>
      </c>
      <c r="E326" s="5">
        <v>2.4079999999999999</v>
      </c>
      <c r="F326" s="5">
        <v>0.84399999999999997</v>
      </c>
    </row>
    <row r="327" spans="2:6" x14ac:dyDescent="0.2">
      <c r="B327" s="9" t="s">
        <v>4896</v>
      </c>
      <c r="C327" s="15" t="s">
        <v>4592</v>
      </c>
      <c r="D327" s="12" t="str">
        <f>"0363-5465"</f>
        <v>0363-5465</v>
      </c>
      <c r="E327" s="5">
        <v>6.202</v>
      </c>
      <c r="F327" s="5">
        <v>0.97499999999999998</v>
      </c>
    </row>
    <row r="328" spans="2:6" x14ac:dyDescent="0.2">
      <c r="B328" s="9" t="s">
        <v>4897</v>
      </c>
      <c r="C328" s="15" t="s">
        <v>4593</v>
      </c>
      <c r="D328" s="12" t="str">
        <f>"0002-9610"</f>
        <v>0002-9610</v>
      </c>
      <c r="E328" s="5">
        <v>2.5649999999999999</v>
      </c>
      <c r="F328" s="5">
        <v>0.53300000000000003</v>
      </c>
    </row>
    <row r="329" spans="2:6" x14ac:dyDescent="0.2">
      <c r="B329" s="9" t="s">
        <v>4898</v>
      </c>
      <c r="C329" s="15" t="s">
        <v>4594</v>
      </c>
      <c r="D329" s="12" t="str">
        <f>"0147-5185"</f>
        <v>0147-5185</v>
      </c>
      <c r="E329" s="5">
        <v>6.3940000000000001</v>
      </c>
      <c r="F329" s="5">
        <v>0.94799999999999995</v>
      </c>
    </row>
    <row r="330" spans="2:6" x14ac:dyDescent="0.2">
      <c r="B330" s="9" t="s">
        <v>8151</v>
      </c>
      <c r="C330" s="15" t="s">
        <v>8152</v>
      </c>
      <c r="D330" s="12" t="str">
        <f>"1075-2765"</f>
        <v>1075-2765</v>
      </c>
      <c r="E330" s="5">
        <v>2.6880000000000002</v>
      </c>
      <c r="F330" s="5">
        <v>0.33800000000000002</v>
      </c>
    </row>
    <row r="331" spans="2:6" x14ac:dyDescent="0.2">
      <c r="B331" s="9" t="s">
        <v>8153</v>
      </c>
      <c r="C331" s="15" t="s">
        <v>8154</v>
      </c>
      <c r="D331" s="12" t="str">
        <f>"1943-8141"</f>
        <v>1943-8141</v>
      </c>
      <c r="E331" s="5">
        <v>4.0599999999999996</v>
      </c>
      <c r="F331" s="5">
        <v>0.50700000000000001</v>
      </c>
    </row>
    <row r="332" spans="2:6" x14ac:dyDescent="0.2">
      <c r="B332" s="9" t="s">
        <v>4899</v>
      </c>
      <c r="C332" s="15" t="s">
        <v>4595</v>
      </c>
      <c r="D332" s="12" t="str">
        <f>"1600-6135"</f>
        <v>1600-6135</v>
      </c>
      <c r="E332" s="5">
        <v>8.0860000000000003</v>
      </c>
      <c r="F332" s="5">
        <v>0.97599999999999998</v>
      </c>
    </row>
    <row r="333" spans="2:6" x14ac:dyDescent="0.2">
      <c r="B333" s="9" t="s">
        <v>4901</v>
      </c>
      <c r="C333" s="15" t="s">
        <v>4596</v>
      </c>
      <c r="D333" s="12" t="str">
        <f>"0002-9637"</f>
        <v>0002-9637</v>
      </c>
      <c r="E333" s="5">
        <v>2.3450000000000002</v>
      </c>
      <c r="F333" s="5">
        <v>0.56499999999999995</v>
      </c>
    </row>
    <row r="334" spans="2:6" x14ac:dyDescent="0.2">
      <c r="B334" s="9" t="s">
        <v>4902</v>
      </c>
      <c r="C334" s="15" t="s">
        <v>4597</v>
      </c>
      <c r="D334" s="12" t="str">
        <f>"0002-9645"</f>
        <v>0002-9645</v>
      </c>
      <c r="E334" s="5">
        <v>1.1559999999999999</v>
      </c>
      <c r="F334" s="5">
        <v>0.377</v>
      </c>
    </row>
    <row r="335" spans="2:6" x14ac:dyDescent="0.2">
      <c r="B335" s="9" t="s">
        <v>1761</v>
      </c>
      <c r="C335" s="15" t="s">
        <v>1762</v>
      </c>
      <c r="D335" s="12" t="str">
        <f>"0003-066X"</f>
        <v>0003-066X</v>
      </c>
      <c r="E335" s="5">
        <v>10.885</v>
      </c>
      <c r="F335" s="5">
        <v>0.97099999999999997</v>
      </c>
    </row>
    <row r="336" spans="2:6" x14ac:dyDescent="0.2">
      <c r="B336" s="9" t="s">
        <v>4903</v>
      </c>
      <c r="C336" s="15" t="s">
        <v>4598</v>
      </c>
      <c r="D336" s="12" t="str">
        <f>"0003-0996"</f>
        <v>0003-0996</v>
      </c>
      <c r="E336" s="5">
        <v>0.54800000000000004</v>
      </c>
      <c r="F336" s="5">
        <v>8.3000000000000004E-2</v>
      </c>
    </row>
    <row r="337" spans="2:6" x14ac:dyDescent="0.2">
      <c r="B337" s="9" t="s">
        <v>4904</v>
      </c>
      <c r="C337" s="15" t="s">
        <v>4599</v>
      </c>
      <c r="D337" s="12" t="str">
        <f>"0003-1305"</f>
        <v>0003-1305</v>
      </c>
      <c r="E337" s="5">
        <v>8.7100000000000009</v>
      </c>
      <c r="F337" s="5">
        <v>1</v>
      </c>
    </row>
    <row r="338" spans="2:6" x14ac:dyDescent="0.2">
      <c r="B338" s="9" t="s">
        <v>4905</v>
      </c>
      <c r="C338" s="15" t="s">
        <v>4600</v>
      </c>
      <c r="D338" s="12" t="str">
        <f>"0003-1348"</f>
        <v>0003-1348</v>
      </c>
      <c r="E338" s="5">
        <v>0.68799999999999994</v>
      </c>
      <c r="F338" s="5">
        <v>5.1999999999999998E-2</v>
      </c>
    </row>
    <row r="339" spans="2:6" x14ac:dyDescent="0.2">
      <c r="B339" s="9" t="s">
        <v>4907</v>
      </c>
      <c r="C339" s="15" t="s">
        <v>4601</v>
      </c>
      <c r="D339" s="12" t="str">
        <f>"1350-6129"</f>
        <v>1350-6129</v>
      </c>
      <c r="E339" s="5">
        <v>7.141</v>
      </c>
      <c r="F339" s="5">
        <v>0.89200000000000002</v>
      </c>
    </row>
    <row r="340" spans="2:6" x14ac:dyDescent="0.2">
      <c r="B340" s="9" t="s">
        <v>8155</v>
      </c>
      <c r="C340" s="15" t="s">
        <v>8156</v>
      </c>
      <c r="D340" s="12" t="str">
        <f>"2167-8421"</f>
        <v>2167-8421</v>
      </c>
      <c r="E340" s="5">
        <v>4.0919999999999996</v>
      </c>
      <c r="F340" s="5">
        <v>0.68300000000000005</v>
      </c>
    </row>
    <row r="341" spans="2:6" x14ac:dyDescent="0.2">
      <c r="B341" s="9" t="s">
        <v>4908</v>
      </c>
      <c r="C341" s="15" t="s">
        <v>4602</v>
      </c>
      <c r="D341" s="12" t="str">
        <f>"0001-3765"</f>
        <v>0001-3765</v>
      </c>
      <c r="E341" s="5">
        <v>1.7529999999999999</v>
      </c>
      <c r="F341" s="5">
        <v>0.40300000000000002</v>
      </c>
    </row>
    <row r="342" spans="2:6" x14ac:dyDescent="0.2">
      <c r="B342" s="9" t="s">
        <v>8157</v>
      </c>
      <c r="C342" s="15" t="s">
        <v>8158</v>
      </c>
      <c r="D342" s="12" t="str">
        <f>"1302-6631"</f>
        <v>1302-6631</v>
      </c>
      <c r="E342" s="5">
        <v>0.51800000000000002</v>
      </c>
      <c r="F342" s="5">
        <v>5.0999999999999997E-2</v>
      </c>
    </row>
    <row r="343" spans="2:6" x14ac:dyDescent="0.2">
      <c r="B343" s="9" t="s">
        <v>4909</v>
      </c>
      <c r="C343" s="15" t="s">
        <v>4909</v>
      </c>
      <c r="D343" s="12" t="str">
        <f>"1095-8274"</f>
        <v>1095-8274</v>
      </c>
      <c r="E343" s="5">
        <v>3.331</v>
      </c>
      <c r="F343" s="5">
        <v>0.45200000000000001</v>
      </c>
    </row>
    <row r="344" spans="2:6" x14ac:dyDescent="0.2">
      <c r="B344" s="9" t="s">
        <v>8159</v>
      </c>
      <c r="C344" s="15" t="s">
        <v>8160</v>
      </c>
      <c r="D344" s="12" t="str">
        <f>"2352-5568"</f>
        <v>2352-5568</v>
      </c>
      <c r="E344" s="5">
        <v>4.1319999999999997</v>
      </c>
      <c r="F344" s="5">
        <v>0.72199999999999998</v>
      </c>
    </row>
    <row r="345" spans="2:6" x14ac:dyDescent="0.2">
      <c r="B345" s="9" t="s">
        <v>4911</v>
      </c>
      <c r="C345" s="15" t="s">
        <v>4911</v>
      </c>
      <c r="D345" s="12" t="str">
        <f>"0003-2409"</f>
        <v>0003-2409</v>
      </c>
      <c r="E345" s="5">
        <v>6.9550000000000001</v>
      </c>
      <c r="F345" s="5">
        <v>0.879</v>
      </c>
    </row>
    <row r="346" spans="2:6" x14ac:dyDescent="0.2">
      <c r="B346" s="9" t="s">
        <v>4912</v>
      </c>
      <c r="C346" s="15" t="s">
        <v>4912</v>
      </c>
      <c r="D346" s="12" t="str">
        <f>"0003-2417"</f>
        <v>0003-2417</v>
      </c>
      <c r="E346" s="5">
        <v>1.0409999999999999</v>
      </c>
      <c r="F346" s="5">
        <v>0.121</v>
      </c>
    </row>
    <row r="347" spans="2:6" x14ac:dyDescent="0.2">
      <c r="B347" s="9" t="s">
        <v>4910</v>
      </c>
      <c r="C347" s="15" t="s">
        <v>4603</v>
      </c>
      <c r="D347" s="12" t="str">
        <f>"0310-057X"</f>
        <v>0310-057X</v>
      </c>
      <c r="E347" s="5">
        <v>1.669</v>
      </c>
      <c r="F347" s="5">
        <v>0.182</v>
      </c>
    </row>
    <row r="348" spans="2:6" x14ac:dyDescent="0.2">
      <c r="B348" s="9" t="s">
        <v>4913</v>
      </c>
      <c r="C348" s="15" t="s">
        <v>4604</v>
      </c>
      <c r="D348" s="12" t="str">
        <f>"1618-2642"</f>
        <v>1618-2642</v>
      </c>
      <c r="E348" s="5">
        <v>4.1420000000000003</v>
      </c>
      <c r="F348" s="5">
        <v>0.753</v>
      </c>
    </row>
    <row r="349" spans="2:6" x14ac:dyDescent="0.2">
      <c r="B349" s="9" t="s">
        <v>4914</v>
      </c>
      <c r="C349" s="15" t="s">
        <v>4605</v>
      </c>
      <c r="D349" s="12" t="str">
        <f>"0003-2697"</f>
        <v>0003-2697</v>
      </c>
      <c r="E349" s="5">
        <v>3.3650000000000002</v>
      </c>
      <c r="F349" s="5">
        <v>0.61399999999999999</v>
      </c>
    </row>
    <row r="350" spans="2:6" x14ac:dyDescent="0.2">
      <c r="B350" s="9" t="s">
        <v>8161</v>
      </c>
      <c r="C350" s="15" t="s">
        <v>8162</v>
      </c>
      <c r="D350" s="12" t="str">
        <f>"2210-7185"</f>
        <v>2210-7185</v>
      </c>
      <c r="E350" s="5">
        <v>2.9159999999999999</v>
      </c>
      <c r="F350" s="5">
        <v>0.51900000000000002</v>
      </c>
    </row>
    <row r="351" spans="2:6" x14ac:dyDescent="0.2">
      <c r="B351" s="9" t="s">
        <v>4915</v>
      </c>
      <c r="C351" s="15" t="s">
        <v>4606</v>
      </c>
      <c r="D351" s="12" t="str">
        <f>"0003-2700"</f>
        <v>0003-2700</v>
      </c>
      <c r="E351" s="5">
        <v>6.9859999999999998</v>
      </c>
      <c r="F351" s="5">
        <v>0.91600000000000004</v>
      </c>
    </row>
    <row r="352" spans="2:6" x14ac:dyDescent="0.2">
      <c r="B352" s="9" t="s">
        <v>4916</v>
      </c>
      <c r="C352" s="15" t="s">
        <v>4607</v>
      </c>
      <c r="D352" s="12" t="str">
        <f>"0003-2670"</f>
        <v>0003-2670</v>
      </c>
      <c r="E352" s="5">
        <v>6.5579999999999998</v>
      </c>
      <c r="F352" s="5">
        <v>0.89200000000000002</v>
      </c>
    </row>
    <row r="353" spans="2:6" x14ac:dyDescent="0.2">
      <c r="B353" s="9" t="s">
        <v>4917</v>
      </c>
      <c r="C353" s="15" t="s">
        <v>4608</v>
      </c>
      <c r="D353" s="12" t="str">
        <f>"0003-2719"</f>
        <v>0003-2719</v>
      </c>
      <c r="E353" s="5">
        <v>2.3290000000000002</v>
      </c>
      <c r="F353" s="5">
        <v>0.313</v>
      </c>
    </row>
    <row r="354" spans="2:6" x14ac:dyDescent="0.2">
      <c r="B354" s="9" t="s">
        <v>8163</v>
      </c>
      <c r="C354" s="15" t="s">
        <v>8164</v>
      </c>
      <c r="D354" s="12" t="str">
        <f>"2213-6657"</f>
        <v>2213-6657</v>
      </c>
      <c r="E354" s="5">
        <v>11.805999999999999</v>
      </c>
      <c r="F354" s="5">
        <v>1</v>
      </c>
    </row>
    <row r="355" spans="2:6" x14ac:dyDescent="0.2">
      <c r="B355" s="9" t="s">
        <v>8165</v>
      </c>
      <c r="C355" s="15" t="s">
        <v>8166</v>
      </c>
      <c r="D355" s="12" t="str">
        <f>"1759-9660"</f>
        <v>1759-9660</v>
      </c>
      <c r="E355" s="5">
        <v>2.8959999999999999</v>
      </c>
      <c r="F355" s="5">
        <v>0.72099999999999997</v>
      </c>
    </row>
    <row r="356" spans="2:6" x14ac:dyDescent="0.2">
      <c r="B356" s="9" t="s">
        <v>8167</v>
      </c>
      <c r="C356" s="15" t="s">
        <v>8168</v>
      </c>
      <c r="D356" s="12" t="str">
        <f>"0884-6812"</f>
        <v>0884-6812</v>
      </c>
      <c r="E356" s="5">
        <v>0.30199999999999999</v>
      </c>
      <c r="F356" s="5">
        <v>1.6E-2</v>
      </c>
    </row>
    <row r="357" spans="2:6" x14ac:dyDescent="0.2">
      <c r="B357" s="9" t="s">
        <v>4918</v>
      </c>
      <c r="C357" s="15" t="s">
        <v>4609</v>
      </c>
      <c r="D357" s="12" t="str">
        <f>"0910-6340"</f>
        <v>0910-6340</v>
      </c>
      <c r="E357" s="5">
        <v>2.081</v>
      </c>
      <c r="F357" s="5">
        <v>0.27700000000000002</v>
      </c>
    </row>
    <row r="358" spans="2:6" x14ac:dyDescent="0.2">
      <c r="B358" s="9" t="s">
        <v>8169</v>
      </c>
      <c r="C358" s="15" t="s">
        <v>8170</v>
      </c>
      <c r="D358" s="12" t="str">
        <f>"1529-7489"</f>
        <v>1529-7489</v>
      </c>
      <c r="E358" s="5">
        <v>1.1619999999999999</v>
      </c>
      <c r="F358" s="5">
        <v>0.27300000000000002</v>
      </c>
    </row>
    <row r="359" spans="2:6" x14ac:dyDescent="0.2">
      <c r="B359" s="9" t="s">
        <v>4919</v>
      </c>
      <c r="C359" s="15" t="s">
        <v>4919</v>
      </c>
      <c r="D359" s="12" t="str">
        <f>"0003-2654"</f>
        <v>0003-2654</v>
      </c>
      <c r="E359" s="5">
        <v>4.6159999999999997</v>
      </c>
      <c r="F359" s="5">
        <v>0.78300000000000003</v>
      </c>
    </row>
    <row r="360" spans="2:6" x14ac:dyDescent="0.2">
      <c r="B360" s="9" t="s">
        <v>4921</v>
      </c>
      <c r="C360" s="15" t="s">
        <v>4611</v>
      </c>
      <c r="D360" s="12" t="str">
        <f>"0170-5334"</f>
        <v>0170-5334</v>
      </c>
      <c r="E360" s="5">
        <v>1</v>
      </c>
      <c r="F360" s="5">
        <v>9.0999999999999998E-2</v>
      </c>
    </row>
    <row r="361" spans="2:6" x14ac:dyDescent="0.2">
      <c r="B361" s="9" t="s">
        <v>4920</v>
      </c>
      <c r="C361" s="15" t="s">
        <v>4610</v>
      </c>
      <c r="D361" s="12" t="str">
        <f>"0939-2661"</f>
        <v>0939-2661</v>
      </c>
      <c r="E361" s="5">
        <v>0.69799999999999995</v>
      </c>
      <c r="F361" s="5">
        <v>0.03</v>
      </c>
    </row>
    <row r="362" spans="2:6" x14ac:dyDescent="0.2">
      <c r="B362" s="9" t="s">
        <v>4922</v>
      </c>
      <c r="C362" s="15" t="s">
        <v>1769</v>
      </c>
      <c r="D362" s="12" t="str">
        <f>"1439-0264"</f>
        <v>1439-0264</v>
      </c>
      <c r="E362" s="5">
        <v>1.1140000000000001</v>
      </c>
      <c r="F362" s="5">
        <v>0.37</v>
      </c>
    </row>
    <row r="363" spans="2:6" x14ac:dyDescent="0.2">
      <c r="B363" s="9" t="s">
        <v>8171</v>
      </c>
      <c r="C363" s="15" t="s">
        <v>8172</v>
      </c>
      <c r="D363" s="12" t="str">
        <f>"2149-2263"</f>
        <v>2149-2263</v>
      </c>
      <c r="E363" s="5">
        <v>1.5960000000000001</v>
      </c>
      <c r="F363" s="5">
        <v>0.121</v>
      </c>
    </row>
    <row r="364" spans="2:6" x14ac:dyDescent="0.2">
      <c r="B364" s="9" t="s">
        <v>1770</v>
      </c>
      <c r="C364" s="15" t="s">
        <v>1771</v>
      </c>
      <c r="D364" s="12" t="str">
        <f>"1932-8486"</f>
        <v>1932-8486</v>
      </c>
      <c r="E364" s="5">
        <v>2.0640000000000001</v>
      </c>
      <c r="F364" s="5">
        <v>0.52400000000000002</v>
      </c>
    </row>
    <row r="365" spans="2:6" x14ac:dyDescent="0.2">
      <c r="B365" s="9" t="s">
        <v>8173</v>
      </c>
      <c r="C365" s="15" t="s">
        <v>8174</v>
      </c>
      <c r="D365" s="12" t="str">
        <f>"1935-9772"</f>
        <v>1935-9772</v>
      </c>
      <c r="E365" s="5">
        <v>5.9580000000000002</v>
      </c>
      <c r="F365" s="5">
        <v>0.95299999999999996</v>
      </c>
    </row>
    <row r="366" spans="2:6" x14ac:dyDescent="0.2">
      <c r="B366" s="9" t="s">
        <v>1772</v>
      </c>
      <c r="C366" s="15" t="s">
        <v>1773</v>
      </c>
      <c r="D366" s="12" t="str">
        <f>"1447-6959"</f>
        <v>1447-6959</v>
      </c>
      <c r="E366" s="5">
        <v>1.7410000000000001</v>
      </c>
      <c r="F366" s="5">
        <v>0.42899999999999999</v>
      </c>
    </row>
    <row r="367" spans="2:6" x14ac:dyDescent="0.2">
      <c r="B367" s="9" t="s">
        <v>8175</v>
      </c>
      <c r="C367" s="15" t="s">
        <v>8176</v>
      </c>
      <c r="D367" s="12" t="str">
        <f>"0365-0596"</f>
        <v>0365-0596</v>
      </c>
      <c r="E367" s="5">
        <v>1.8959999999999999</v>
      </c>
      <c r="F367" s="5">
        <v>0.26500000000000001</v>
      </c>
    </row>
    <row r="368" spans="2:6" x14ac:dyDescent="0.2">
      <c r="B368" s="9" t="s">
        <v>8177</v>
      </c>
      <c r="C368" s="15" t="s">
        <v>8178</v>
      </c>
      <c r="D368" s="12" t="str">
        <f>"1870-0063"</f>
        <v>1870-0063</v>
      </c>
      <c r="E368" s="5">
        <v>0.27200000000000002</v>
      </c>
      <c r="F368" s="5">
        <v>3.6999999999999998E-2</v>
      </c>
    </row>
    <row r="369" spans="2:6" x14ac:dyDescent="0.2">
      <c r="B369" s="9" t="s">
        <v>4923</v>
      </c>
      <c r="C369" s="15" t="s">
        <v>4923</v>
      </c>
      <c r="D369" s="12" t="str">
        <f>"1439-0272"</f>
        <v>1439-0272</v>
      </c>
      <c r="E369" s="5">
        <v>2.7749999999999999</v>
      </c>
      <c r="F369" s="5">
        <v>0.375</v>
      </c>
    </row>
    <row r="370" spans="2:6" x14ac:dyDescent="0.2">
      <c r="B370" s="9" t="s">
        <v>8179</v>
      </c>
      <c r="C370" s="15" t="s">
        <v>8180</v>
      </c>
      <c r="D370" s="12" t="str">
        <f>"2047-2919"</f>
        <v>2047-2919</v>
      </c>
      <c r="E370" s="5">
        <v>3.8420000000000001</v>
      </c>
      <c r="F370" s="5">
        <v>0.875</v>
      </c>
    </row>
    <row r="371" spans="2:6" x14ac:dyDescent="0.2">
      <c r="B371" s="9" t="s">
        <v>4924</v>
      </c>
      <c r="C371" s="15" t="s">
        <v>4612</v>
      </c>
      <c r="D371" s="12" t="str">
        <f>"1526-7598"</f>
        <v>1526-7598</v>
      </c>
      <c r="E371" s="5">
        <v>5.1079999999999997</v>
      </c>
      <c r="F371" s="5">
        <v>0.81799999999999995</v>
      </c>
    </row>
    <row r="372" spans="2:6" x14ac:dyDescent="0.2">
      <c r="B372" s="9" t="s">
        <v>5606</v>
      </c>
      <c r="C372" s="15" t="s">
        <v>5606</v>
      </c>
      <c r="D372" s="12" t="str">
        <f>"0003-3022"</f>
        <v>0003-3022</v>
      </c>
      <c r="E372" s="5">
        <v>7.8920000000000003</v>
      </c>
      <c r="F372" s="5">
        <v>0.93899999999999995</v>
      </c>
    </row>
    <row r="373" spans="2:6" x14ac:dyDescent="0.2">
      <c r="B373" s="9" t="s">
        <v>4925</v>
      </c>
      <c r="C373" s="15" t="s">
        <v>4613</v>
      </c>
      <c r="D373" s="12" t="str">
        <f>"1433-7851"</f>
        <v>1433-7851</v>
      </c>
      <c r="E373" s="5">
        <v>15.336</v>
      </c>
      <c r="F373" s="5">
        <v>0.91600000000000004</v>
      </c>
    </row>
    <row r="374" spans="2:6" x14ac:dyDescent="0.2">
      <c r="B374" s="9" t="s">
        <v>8181</v>
      </c>
      <c r="C374" s="15" t="s">
        <v>8181</v>
      </c>
      <c r="D374" s="12" t="str">
        <f>"0969-6970"</f>
        <v>0969-6970</v>
      </c>
      <c r="E374" s="5">
        <v>9.5960000000000001</v>
      </c>
      <c r="F374" s="5">
        <v>0.95399999999999996</v>
      </c>
    </row>
    <row r="375" spans="2:6" x14ac:dyDescent="0.2">
      <c r="B375" s="9" t="s">
        <v>4926</v>
      </c>
      <c r="C375" s="15" t="s">
        <v>4926</v>
      </c>
      <c r="D375" s="12" t="str">
        <f>"0003-3197"</f>
        <v>0003-3197</v>
      </c>
      <c r="E375" s="5">
        <v>3.6190000000000002</v>
      </c>
      <c r="F375" s="5">
        <v>0.63100000000000001</v>
      </c>
    </row>
    <row r="376" spans="2:6" x14ac:dyDescent="0.2">
      <c r="B376" s="9" t="s">
        <v>4927</v>
      </c>
      <c r="C376" s="15" t="s">
        <v>4614</v>
      </c>
      <c r="D376" s="12" t="str">
        <f>"0003-3219"</f>
        <v>0003-3219</v>
      </c>
      <c r="E376" s="5">
        <v>2.0790000000000002</v>
      </c>
      <c r="F376" s="5">
        <v>0.35199999999999998</v>
      </c>
    </row>
    <row r="377" spans="2:6" x14ac:dyDescent="0.2">
      <c r="B377" s="9" t="s">
        <v>1776</v>
      </c>
      <c r="C377" s="15" t="s">
        <v>1777</v>
      </c>
      <c r="D377" s="12" t="str">
        <f>"1751-7311"</f>
        <v>1751-7311</v>
      </c>
      <c r="E377" s="5">
        <v>3.24</v>
      </c>
      <c r="F377" s="5">
        <v>0.90400000000000003</v>
      </c>
    </row>
    <row r="378" spans="2:6" x14ac:dyDescent="0.2">
      <c r="B378" s="9" t="s">
        <v>8182</v>
      </c>
      <c r="C378" s="15" t="s">
        <v>8183</v>
      </c>
      <c r="D378" s="12" t="str">
        <f>"2076-2615"</f>
        <v>2076-2615</v>
      </c>
      <c r="E378" s="5">
        <v>2.7519999999999998</v>
      </c>
      <c r="F378" s="5">
        <v>0.877</v>
      </c>
    </row>
    <row r="379" spans="2:6" x14ac:dyDescent="0.2">
      <c r="B379" s="9" t="s">
        <v>4928</v>
      </c>
      <c r="C379" s="15" t="s">
        <v>4615</v>
      </c>
      <c r="D379" s="12" t="str">
        <f>"1049-5398"</f>
        <v>1049-5398</v>
      </c>
      <c r="E379" s="5">
        <v>2.282</v>
      </c>
      <c r="F379" s="5">
        <v>0.73</v>
      </c>
    </row>
    <row r="380" spans="2:6" x14ac:dyDescent="0.2">
      <c r="B380" s="9" t="s">
        <v>1774</v>
      </c>
      <c r="C380" s="15" t="s">
        <v>1775</v>
      </c>
      <c r="D380" s="12" t="str">
        <f>"1976-8354"</f>
        <v>1976-8354</v>
      </c>
      <c r="E380" s="5">
        <v>1.8149999999999999</v>
      </c>
      <c r="F380" s="5">
        <v>0.61499999999999999</v>
      </c>
    </row>
    <row r="381" spans="2:6" x14ac:dyDescent="0.2">
      <c r="B381" s="9" t="s">
        <v>4929</v>
      </c>
      <c r="C381" s="15" t="s">
        <v>4616</v>
      </c>
      <c r="D381" s="12" t="str">
        <f>"1365-2052"</f>
        <v>1365-2052</v>
      </c>
      <c r="E381" s="5">
        <v>3.169</v>
      </c>
      <c r="F381" s="5">
        <v>0.85699999999999998</v>
      </c>
    </row>
    <row r="382" spans="2:6" x14ac:dyDescent="0.2">
      <c r="B382" s="9" t="s">
        <v>8184</v>
      </c>
      <c r="C382" s="15" t="s">
        <v>8185</v>
      </c>
      <c r="D382" s="12" t="str">
        <f>"1466-2523"</f>
        <v>1466-2523</v>
      </c>
      <c r="E382" s="5">
        <v>2.6150000000000002</v>
      </c>
      <c r="F382" s="5">
        <v>0.81499999999999995</v>
      </c>
    </row>
    <row r="383" spans="2:6" x14ac:dyDescent="0.2">
      <c r="B383" s="9" t="s">
        <v>8186</v>
      </c>
      <c r="C383" s="15" t="s">
        <v>8187</v>
      </c>
      <c r="D383" s="12" t="str">
        <f>"2405-6383"</f>
        <v>2405-6383</v>
      </c>
      <c r="E383" s="5">
        <v>6.383</v>
      </c>
      <c r="F383" s="5">
        <v>0.98599999999999999</v>
      </c>
    </row>
    <row r="384" spans="2:6" x14ac:dyDescent="0.2">
      <c r="B384" s="9" t="s">
        <v>4930</v>
      </c>
      <c r="C384" s="15" t="s">
        <v>4617</v>
      </c>
      <c r="D384" s="12" t="str">
        <f>"0378-4320"</f>
        <v>0378-4320</v>
      </c>
      <c r="E384" s="5">
        <v>2.145</v>
      </c>
      <c r="F384" s="5">
        <v>0.71199999999999997</v>
      </c>
    </row>
    <row r="385" spans="2:6" x14ac:dyDescent="0.2">
      <c r="B385" s="9" t="s">
        <v>4931</v>
      </c>
      <c r="C385" s="15" t="s">
        <v>4618</v>
      </c>
      <c r="D385" s="12" t="str">
        <f>"0962-7286"</f>
        <v>0962-7286</v>
      </c>
      <c r="E385" s="5">
        <v>2.2440000000000002</v>
      </c>
      <c r="F385" s="5">
        <v>0.75900000000000001</v>
      </c>
    </row>
    <row r="386" spans="2:6" x14ac:dyDescent="0.2">
      <c r="B386" s="9" t="s">
        <v>8188</v>
      </c>
      <c r="C386" s="15" t="s">
        <v>8189</v>
      </c>
      <c r="D386" s="12" t="str">
        <f>"1300-0861"</f>
        <v>1300-0861</v>
      </c>
      <c r="E386" s="5">
        <v>0.433</v>
      </c>
      <c r="F386" s="5">
        <v>0.11600000000000001</v>
      </c>
    </row>
    <row r="387" spans="2:6" x14ac:dyDescent="0.2">
      <c r="B387" s="9" t="s">
        <v>4932</v>
      </c>
      <c r="C387" s="15" t="s">
        <v>4619</v>
      </c>
      <c r="D387" s="12" t="str">
        <f>"0304-4602"</f>
        <v>0304-4602</v>
      </c>
      <c r="E387" s="5">
        <v>2.4729999999999999</v>
      </c>
      <c r="F387" s="5">
        <v>0.55100000000000005</v>
      </c>
    </row>
    <row r="388" spans="2:6" x14ac:dyDescent="0.2">
      <c r="B388" s="9" t="s">
        <v>4933</v>
      </c>
      <c r="C388" s="15" t="s">
        <v>4620</v>
      </c>
      <c r="D388" s="12" t="str">
        <f>"1232-1966"</f>
        <v>1232-1966</v>
      </c>
      <c r="E388" s="5">
        <v>1.4470000000000001</v>
      </c>
      <c r="F388" s="5">
        <v>0.17699999999999999</v>
      </c>
    </row>
    <row r="389" spans="2:6" x14ac:dyDescent="0.2">
      <c r="B389" s="9" t="s">
        <v>4934</v>
      </c>
      <c r="C389" s="15" t="s">
        <v>4621</v>
      </c>
      <c r="D389" s="12" t="str">
        <f>"1081-1206"</f>
        <v>1081-1206</v>
      </c>
      <c r="E389" s="5">
        <v>6.3470000000000004</v>
      </c>
      <c r="F389" s="5">
        <v>0.78600000000000003</v>
      </c>
    </row>
    <row r="390" spans="2:6" x14ac:dyDescent="0.2">
      <c r="B390" s="9" t="s">
        <v>1778</v>
      </c>
      <c r="C390" s="15" t="s">
        <v>1779</v>
      </c>
      <c r="D390" s="12" t="str">
        <f>"0002-7162"</f>
        <v>0002-7162</v>
      </c>
      <c r="E390" s="5">
        <v>2.15</v>
      </c>
      <c r="F390" s="5">
        <v>0.56899999999999995</v>
      </c>
    </row>
    <row r="391" spans="2:6" x14ac:dyDescent="0.2">
      <c r="B391" s="9" t="s">
        <v>8190</v>
      </c>
      <c r="C391" s="15" t="s">
        <v>8191</v>
      </c>
      <c r="D391" s="12" t="str">
        <f>"1546-3222"</f>
        <v>1546-3222</v>
      </c>
      <c r="E391" s="5">
        <v>6.8310000000000004</v>
      </c>
      <c r="F391" s="5">
        <v>0.85899999999999999</v>
      </c>
    </row>
    <row r="392" spans="2:6" x14ac:dyDescent="0.2">
      <c r="B392" s="9" t="s">
        <v>4935</v>
      </c>
      <c r="C392" s="15" t="s">
        <v>4622</v>
      </c>
      <c r="D392" s="12" t="str">
        <f>"0940-9602"</f>
        <v>0940-9602</v>
      </c>
      <c r="E392" s="5">
        <v>2.698</v>
      </c>
      <c r="F392" s="5">
        <v>0.81</v>
      </c>
    </row>
    <row r="393" spans="2:6" x14ac:dyDescent="0.2">
      <c r="B393" s="9" t="s">
        <v>4936</v>
      </c>
      <c r="C393" s="15" t="s">
        <v>4623</v>
      </c>
      <c r="D393" s="12" t="str">
        <f>"1050-5164"</f>
        <v>1050-5164</v>
      </c>
      <c r="E393" s="5">
        <v>1.8720000000000001</v>
      </c>
      <c r="F393" s="5">
        <v>0.60799999999999998</v>
      </c>
    </row>
    <row r="394" spans="2:6" x14ac:dyDescent="0.2">
      <c r="B394" s="9" t="s">
        <v>1780</v>
      </c>
      <c r="C394" s="15" t="s">
        <v>1781</v>
      </c>
      <c r="D394" s="12" t="str">
        <f>"1932-6157"</f>
        <v>1932-6157</v>
      </c>
      <c r="E394" s="5">
        <v>2.0830000000000002</v>
      </c>
      <c r="F394" s="5">
        <v>0.66400000000000003</v>
      </c>
    </row>
    <row r="395" spans="2:6" x14ac:dyDescent="0.2">
      <c r="B395" s="9" t="s">
        <v>1782</v>
      </c>
      <c r="C395" s="15" t="s">
        <v>1783</v>
      </c>
      <c r="D395" s="12" t="str">
        <f>"0883-6612"</f>
        <v>0883-6612</v>
      </c>
      <c r="E395" s="5">
        <v>4.9080000000000004</v>
      </c>
      <c r="F395" s="5">
        <v>0.871</v>
      </c>
    </row>
    <row r="396" spans="2:6" x14ac:dyDescent="0.2">
      <c r="B396" s="9" t="s">
        <v>4937</v>
      </c>
      <c r="C396" s="15" t="s">
        <v>4624</v>
      </c>
      <c r="D396" s="12" t="str">
        <f>"0003-3898"</f>
        <v>0003-3898</v>
      </c>
      <c r="E396" s="5">
        <v>0.45900000000000002</v>
      </c>
      <c r="F396" s="5">
        <v>0.10299999999999999</v>
      </c>
    </row>
    <row r="397" spans="2:6" x14ac:dyDescent="0.2">
      <c r="B397" s="9" t="s">
        <v>4938</v>
      </c>
      <c r="C397" s="15" t="s">
        <v>4625</v>
      </c>
      <c r="D397" s="12" t="str">
        <f>"0090-6964"</f>
        <v>0090-6964</v>
      </c>
      <c r="E397" s="5">
        <v>3.9340000000000002</v>
      </c>
      <c r="F397" s="5">
        <v>0.66700000000000004</v>
      </c>
    </row>
    <row r="398" spans="2:6" x14ac:dyDescent="0.2">
      <c r="B398" s="9" t="s">
        <v>8192</v>
      </c>
      <c r="C398" s="15" t="s">
        <v>8193</v>
      </c>
      <c r="D398" s="12" t="str">
        <f>"2225-319X"</f>
        <v>2225-319X</v>
      </c>
      <c r="E398" s="5">
        <v>4.101</v>
      </c>
      <c r="F398" s="5">
        <v>0.80500000000000005</v>
      </c>
    </row>
    <row r="399" spans="2:6" x14ac:dyDescent="0.2">
      <c r="B399" s="9" t="s">
        <v>1784</v>
      </c>
      <c r="C399" s="15" t="s">
        <v>1785</v>
      </c>
      <c r="D399" s="12" t="str">
        <f>"0097-4463"</f>
        <v>0097-4463</v>
      </c>
      <c r="E399" s="5">
        <v>1.143</v>
      </c>
      <c r="F399" s="5">
        <v>0.36799999999999999</v>
      </c>
    </row>
    <row r="400" spans="2:6" x14ac:dyDescent="0.2">
      <c r="B400" s="9" t="s">
        <v>1786</v>
      </c>
      <c r="C400" s="15" t="s">
        <v>1787</v>
      </c>
      <c r="D400" s="12" t="str">
        <f>"0294-1260"</f>
        <v>0294-1260</v>
      </c>
      <c r="E400" s="5">
        <v>0.66</v>
      </c>
      <c r="F400" s="5">
        <v>4.2999999999999997E-2</v>
      </c>
    </row>
    <row r="401" spans="2:6" x14ac:dyDescent="0.2">
      <c r="B401" s="9" t="s">
        <v>4939</v>
      </c>
      <c r="C401" s="15" t="s">
        <v>4626</v>
      </c>
      <c r="D401" s="12" t="str">
        <f>"0004-5632"</f>
        <v>0004-5632</v>
      </c>
      <c r="E401" s="5">
        <v>2.0569999999999999</v>
      </c>
      <c r="F401" s="5">
        <v>0.34499999999999997</v>
      </c>
    </row>
    <row r="402" spans="2:6" x14ac:dyDescent="0.2">
      <c r="B402" s="9" t="s">
        <v>4940</v>
      </c>
      <c r="C402" s="15" t="s">
        <v>4627</v>
      </c>
      <c r="D402" s="12" t="str">
        <f>"1550-8080"</f>
        <v>1550-8080</v>
      </c>
      <c r="E402" s="5">
        <v>1.256</v>
      </c>
      <c r="F402" s="5">
        <v>0.20699999999999999</v>
      </c>
    </row>
    <row r="403" spans="2:6" x14ac:dyDescent="0.2">
      <c r="B403" s="9" t="s">
        <v>8194</v>
      </c>
      <c r="C403" s="15" t="s">
        <v>8195</v>
      </c>
      <c r="D403" s="12" t="str">
        <f>"1476-0711"</f>
        <v>1476-0711</v>
      </c>
      <c r="E403" s="5">
        <v>3.944</v>
      </c>
      <c r="F403" s="5">
        <v>0.6</v>
      </c>
    </row>
    <row r="404" spans="2:6" x14ac:dyDescent="0.2">
      <c r="B404" s="9" t="s">
        <v>8196</v>
      </c>
      <c r="C404" s="15" t="s">
        <v>8197</v>
      </c>
      <c r="D404" s="12" t="str">
        <f>"1040-1237"</f>
        <v>1040-1237</v>
      </c>
      <c r="E404" s="5">
        <v>1.5669999999999999</v>
      </c>
      <c r="F404" s="5">
        <v>0.20399999999999999</v>
      </c>
    </row>
    <row r="405" spans="2:6" x14ac:dyDescent="0.2">
      <c r="B405" s="9" t="s">
        <v>8198</v>
      </c>
      <c r="C405" s="15" t="s">
        <v>8199</v>
      </c>
      <c r="D405" s="12" t="str">
        <f>"2328-9503"</f>
        <v>2328-9503</v>
      </c>
      <c r="E405" s="5">
        <v>4.5110000000000001</v>
      </c>
      <c r="F405" s="5">
        <v>0.72099999999999997</v>
      </c>
    </row>
    <row r="406" spans="2:6" x14ac:dyDescent="0.2">
      <c r="B406" s="9" t="s">
        <v>1788</v>
      </c>
      <c r="C406" s="15" t="s">
        <v>1789</v>
      </c>
      <c r="D406" s="12" t="str">
        <f>"1013-9087"</f>
        <v>1013-9087</v>
      </c>
      <c r="E406" s="5">
        <v>1.444</v>
      </c>
      <c r="F406" s="5">
        <v>0.13200000000000001</v>
      </c>
    </row>
    <row r="407" spans="2:6" x14ac:dyDescent="0.2">
      <c r="B407" s="9" t="s">
        <v>4941</v>
      </c>
      <c r="C407" s="15" t="s">
        <v>4628</v>
      </c>
      <c r="D407" s="12" t="str">
        <f>"0151-9638"</f>
        <v>0151-9638</v>
      </c>
      <c r="E407" s="5">
        <v>0.77700000000000002</v>
      </c>
      <c r="F407" s="5">
        <v>7.3999999999999996E-2</v>
      </c>
    </row>
    <row r="408" spans="2:6" x14ac:dyDescent="0.2">
      <c r="B408" s="9" t="s">
        <v>8200</v>
      </c>
      <c r="C408" s="15" t="s">
        <v>8201</v>
      </c>
      <c r="D408" s="12" t="str">
        <f>"1092-9134"</f>
        <v>1092-9134</v>
      </c>
      <c r="E408" s="5">
        <v>2.09</v>
      </c>
      <c r="F408" s="5">
        <v>0.35099999999999998</v>
      </c>
    </row>
    <row r="409" spans="2:6" x14ac:dyDescent="0.2">
      <c r="B409" s="9" t="s">
        <v>1790</v>
      </c>
      <c r="C409" s="15" t="s">
        <v>1791</v>
      </c>
      <c r="D409" s="12" t="str">
        <f>"0736-9387"</f>
        <v>0736-9387</v>
      </c>
      <c r="E409" s="5">
        <v>1.5149999999999999</v>
      </c>
      <c r="F409" s="5">
        <v>0.25</v>
      </c>
    </row>
    <row r="410" spans="2:6" x14ac:dyDescent="0.2">
      <c r="B410" s="9" t="s">
        <v>4942</v>
      </c>
      <c r="C410" s="15" t="s">
        <v>4629</v>
      </c>
      <c r="D410" s="12" t="str">
        <f>"0196-0644"</f>
        <v>0196-0644</v>
      </c>
      <c r="E410" s="5">
        <v>5.7210000000000001</v>
      </c>
      <c r="F410" s="5">
        <v>1</v>
      </c>
    </row>
    <row r="411" spans="2:6" x14ac:dyDescent="0.2">
      <c r="B411" s="9" t="s">
        <v>4943</v>
      </c>
      <c r="C411" s="15" t="s">
        <v>4630</v>
      </c>
      <c r="D411" s="12" t="str">
        <f>"0003-4266"</f>
        <v>0003-4266</v>
      </c>
      <c r="E411" s="5">
        <v>2.4780000000000002</v>
      </c>
      <c r="F411" s="5">
        <v>0.17899999999999999</v>
      </c>
    </row>
    <row r="412" spans="2:6" x14ac:dyDescent="0.2">
      <c r="B412" s="9" t="s">
        <v>4944</v>
      </c>
      <c r="C412" s="15" t="s">
        <v>4631</v>
      </c>
      <c r="D412" s="12" t="str">
        <f>"1873-2585"</f>
        <v>1873-2585</v>
      </c>
      <c r="E412" s="5">
        <v>3.7970000000000002</v>
      </c>
      <c r="F412" s="5">
        <v>0.77100000000000002</v>
      </c>
    </row>
    <row r="413" spans="2:6" x14ac:dyDescent="0.2">
      <c r="B413" s="9" t="s">
        <v>4945</v>
      </c>
      <c r="C413" s="15" t="s">
        <v>4632</v>
      </c>
      <c r="D413" s="12" t="str">
        <f>"1544-1709"</f>
        <v>1544-1709</v>
      </c>
      <c r="E413" s="5">
        <v>5.1660000000000004</v>
      </c>
      <c r="F413" s="5">
        <v>0.94399999999999995</v>
      </c>
    </row>
    <row r="414" spans="2:6" x14ac:dyDescent="0.2">
      <c r="B414" s="9" t="s">
        <v>8202</v>
      </c>
      <c r="C414" s="15" t="s">
        <v>8203</v>
      </c>
      <c r="D414" s="12" t="str">
        <f>"2475-0328"</f>
        <v>2475-0328</v>
      </c>
      <c r="E414" s="5">
        <v>5.1639999999999997</v>
      </c>
      <c r="F414" s="5">
        <v>0.67400000000000004</v>
      </c>
    </row>
    <row r="415" spans="2:6" x14ac:dyDescent="0.2">
      <c r="B415" s="9" t="s">
        <v>8204</v>
      </c>
      <c r="C415" s="15" t="s">
        <v>8205</v>
      </c>
      <c r="D415" s="12" t="str">
        <f>"1744-859X"</f>
        <v>1744-859X</v>
      </c>
      <c r="E415" s="5">
        <v>3.4550000000000001</v>
      </c>
      <c r="F415" s="5">
        <v>0.60199999999999998</v>
      </c>
    </row>
    <row r="416" spans="2:6" x14ac:dyDescent="0.2">
      <c r="B416" s="9" t="s">
        <v>8206</v>
      </c>
      <c r="C416" s="15" t="s">
        <v>8207</v>
      </c>
      <c r="D416" s="12" t="str">
        <f>"2214-9996"</f>
        <v>2214-9996</v>
      </c>
      <c r="E416" s="5">
        <v>2.4620000000000002</v>
      </c>
      <c r="F416" s="5">
        <v>0.495</v>
      </c>
    </row>
    <row r="417" spans="2:6" x14ac:dyDescent="0.2">
      <c r="B417" s="9" t="s">
        <v>4946</v>
      </c>
      <c r="C417" s="15" t="s">
        <v>4633</v>
      </c>
      <c r="D417" s="12" t="str">
        <f>"0939-5555"</f>
        <v>0939-5555</v>
      </c>
      <c r="E417" s="5">
        <v>3.673</v>
      </c>
      <c r="F417" s="5">
        <v>0.55300000000000005</v>
      </c>
    </row>
    <row r="418" spans="2:6" x14ac:dyDescent="0.2">
      <c r="B418" s="9" t="s">
        <v>1792</v>
      </c>
      <c r="C418" s="15" t="s">
        <v>1793</v>
      </c>
      <c r="D418" s="12" t="str">
        <f>"1665-2681"</f>
        <v>1665-2681</v>
      </c>
      <c r="E418" s="5">
        <v>2.4</v>
      </c>
      <c r="F418" s="5">
        <v>0.152</v>
      </c>
    </row>
    <row r="419" spans="2:6" x14ac:dyDescent="0.2">
      <c r="B419" s="9" t="s">
        <v>4947</v>
      </c>
      <c r="C419" s="15" t="s">
        <v>4634</v>
      </c>
      <c r="D419" s="12" t="str">
        <f>"0301-4460"</f>
        <v>0301-4460</v>
      </c>
      <c r="E419" s="5">
        <v>1.5329999999999999</v>
      </c>
      <c r="F419" s="5">
        <v>0.59099999999999997</v>
      </c>
    </row>
    <row r="420" spans="2:6" x14ac:dyDescent="0.2">
      <c r="B420" s="9" t="s">
        <v>4948</v>
      </c>
      <c r="C420" s="15" t="s">
        <v>4635</v>
      </c>
      <c r="D420" s="12" t="str">
        <f>"0003-4800"</f>
        <v>0003-4800</v>
      </c>
      <c r="E420" s="5">
        <v>1.67</v>
      </c>
      <c r="F420" s="5">
        <v>0.14899999999999999</v>
      </c>
    </row>
    <row r="421" spans="2:6" x14ac:dyDescent="0.2">
      <c r="B421" s="9" t="s">
        <v>4949</v>
      </c>
      <c r="C421" s="15" t="s">
        <v>4636</v>
      </c>
      <c r="D421" s="12" t="str">
        <f>"0246-0203"</f>
        <v>0246-0203</v>
      </c>
      <c r="E421" s="5">
        <v>1.851</v>
      </c>
      <c r="F421" s="5">
        <v>0.59199999999999997</v>
      </c>
    </row>
    <row r="422" spans="2:6" x14ac:dyDescent="0.2">
      <c r="B422" s="9" t="s">
        <v>8208</v>
      </c>
      <c r="C422" s="15" t="s">
        <v>8209</v>
      </c>
      <c r="D422" s="12" t="str">
        <f>"0972-2327"</f>
        <v>0972-2327</v>
      </c>
      <c r="E422" s="5">
        <v>1.383</v>
      </c>
      <c r="F422" s="5">
        <v>8.6999999999999994E-2</v>
      </c>
    </row>
    <row r="423" spans="2:6" x14ac:dyDescent="0.2">
      <c r="B423" s="9" t="s">
        <v>8210</v>
      </c>
      <c r="C423" s="15" t="s">
        <v>8211</v>
      </c>
      <c r="D423" s="12" t="str">
        <f>"2110-5820"</f>
        <v>2110-5820</v>
      </c>
      <c r="E423" s="5">
        <v>6.9249999999999998</v>
      </c>
      <c r="F423" s="5">
        <v>0.83299999999999996</v>
      </c>
    </row>
    <row r="424" spans="2:6" x14ac:dyDescent="0.2">
      <c r="B424" s="9" t="s">
        <v>4951</v>
      </c>
      <c r="C424" s="15" t="s">
        <v>4638</v>
      </c>
      <c r="D424" s="12" t="str">
        <f>"0003-4819"</f>
        <v>0003-4819</v>
      </c>
      <c r="E424" s="5">
        <v>25.390999999999998</v>
      </c>
      <c r="F424" s="5">
        <v>0.97</v>
      </c>
    </row>
    <row r="425" spans="2:6" x14ac:dyDescent="0.2">
      <c r="B425" s="9" t="s">
        <v>4950</v>
      </c>
      <c r="C425" s="15" t="s">
        <v>4637</v>
      </c>
      <c r="D425" s="12" t="str">
        <f>"0020-3157"</f>
        <v>0020-3157</v>
      </c>
      <c r="E425" s="5">
        <v>1.2669999999999999</v>
      </c>
      <c r="F425" s="5">
        <v>0.40799999999999997</v>
      </c>
    </row>
    <row r="426" spans="2:6" x14ac:dyDescent="0.2">
      <c r="B426" s="9" t="s">
        <v>8212</v>
      </c>
      <c r="C426" s="15" t="s">
        <v>8213</v>
      </c>
      <c r="D426" s="12" t="str">
        <f>"0021-2571"</f>
        <v>0021-2571</v>
      </c>
      <c r="E426" s="5">
        <v>1.663</v>
      </c>
      <c r="F426" s="5">
        <v>0.253</v>
      </c>
    </row>
    <row r="427" spans="2:6" x14ac:dyDescent="0.2">
      <c r="B427" s="9" t="s">
        <v>1794</v>
      </c>
      <c r="C427" s="15" t="s">
        <v>1795</v>
      </c>
      <c r="D427" s="12" t="str">
        <f>"0003-469X"</f>
        <v>0003-469X</v>
      </c>
      <c r="E427" s="5">
        <v>0.76600000000000001</v>
      </c>
      <c r="F427" s="5">
        <v>5.7000000000000002E-2</v>
      </c>
    </row>
    <row r="428" spans="2:6" x14ac:dyDescent="0.2">
      <c r="B428" s="9" t="s">
        <v>8214</v>
      </c>
      <c r="C428" s="15" t="s">
        <v>8215</v>
      </c>
      <c r="D428" s="12" t="str">
        <f>"2234-3806"</f>
        <v>2234-3806</v>
      </c>
      <c r="E428" s="5">
        <v>3.464</v>
      </c>
      <c r="F428" s="5">
        <v>0.65500000000000003</v>
      </c>
    </row>
    <row r="429" spans="2:6" x14ac:dyDescent="0.2">
      <c r="B429" s="9" t="s">
        <v>4952</v>
      </c>
      <c r="C429" s="15" t="s">
        <v>4639</v>
      </c>
      <c r="D429" s="12" t="str">
        <f>"0785-3890"</f>
        <v>0785-3890</v>
      </c>
      <c r="E429" s="5">
        <v>4.7089999999999996</v>
      </c>
      <c r="F429" s="5">
        <v>0.80200000000000005</v>
      </c>
    </row>
    <row r="430" spans="2:6" x14ac:dyDescent="0.2">
      <c r="B430" s="9" t="s">
        <v>1796</v>
      </c>
      <c r="C430" s="15" t="s">
        <v>1797</v>
      </c>
      <c r="D430" s="12" t="str">
        <f>"0003-4487"</f>
        <v>0003-4487</v>
      </c>
      <c r="E430" s="5">
        <v>0.38</v>
      </c>
      <c r="F430" s="5">
        <v>3.9E-2</v>
      </c>
    </row>
    <row r="431" spans="2:6" x14ac:dyDescent="0.2">
      <c r="B431" s="9" t="s">
        <v>4953</v>
      </c>
      <c r="C431" s="15" t="s">
        <v>4640</v>
      </c>
      <c r="D431" s="12" t="str">
        <f>"1590-4261"</f>
        <v>1590-4261</v>
      </c>
      <c r="E431" s="5">
        <v>2.1120000000000001</v>
      </c>
      <c r="F431" s="5">
        <v>0.22800000000000001</v>
      </c>
    </row>
    <row r="432" spans="2:6" x14ac:dyDescent="0.2">
      <c r="B432" s="9" t="s">
        <v>4954</v>
      </c>
      <c r="C432" s="15" t="s">
        <v>4641</v>
      </c>
      <c r="D432" s="12" t="str">
        <f>"0364-5134"</f>
        <v>0364-5134</v>
      </c>
      <c r="E432" s="5">
        <v>10.422000000000001</v>
      </c>
      <c r="F432" s="5">
        <v>0.96199999999999997</v>
      </c>
    </row>
    <row r="433" spans="2:6" x14ac:dyDescent="0.2">
      <c r="B433" s="9" t="s">
        <v>4955</v>
      </c>
      <c r="C433" s="15" t="s">
        <v>4642</v>
      </c>
      <c r="D433" s="12" t="str">
        <f>"1082-720X"</f>
        <v>1082-720X</v>
      </c>
      <c r="E433" s="5">
        <v>1.468</v>
      </c>
      <c r="F433" s="5">
        <v>9.1999999999999998E-2</v>
      </c>
    </row>
    <row r="434" spans="2:6" x14ac:dyDescent="0.2">
      <c r="B434" s="9" t="s">
        <v>4956</v>
      </c>
      <c r="C434" s="15" t="s">
        <v>4643</v>
      </c>
      <c r="D434" s="12" t="str">
        <f>"1864-6433"</f>
        <v>1864-6433</v>
      </c>
      <c r="E434" s="5">
        <v>2.6680000000000001</v>
      </c>
      <c r="F434" s="5">
        <v>0.44400000000000001</v>
      </c>
    </row>
    <row r="435" spans="2:6" x14ac:dyDescent="0.2">
      <c r="B435" s="9" t="s">
        <v>4957</v>
      </c>
      <c r="C435" s="15" t="s">
        <v>4644</v>
      </c>
      <c r="D435" s="12" t="str">
        <f>"1421-9697"</f>
        <v>1421-9697</v>
      </c>
      <c r="E435" s="5">
        <v>3.3740000000000001</v>
      </c>
      <c r="F435" s="5">
        <v>0.432</v>
      </c>
    </row>
    <row r="436" spans="2:6" x14ac:dyDescent="0.2">
      <c r="B436" s="9" t="s">
        <v>4958</v>
      </c>
      <c r="C436" s="15" t="s">
        <v>4645</v>
      </c>
      <c r="D436" s="12" t="str">
        <f>"0077-8923"</f>
        <v>0077-8923</v>
      </c>
      <c r="E436" s="5">
        <v>5.6909999999999998</v>
      </c>
      <c r="F436" s="5">
        <v>0.83299999999999996</v>
      </c>
    </row>
    <row r="437" spans="2:6" x14ac:dyDescent="0.2">
      <c r="B437" s="9" t="s">
        <v>4959</v>
      </c>
      <c r="C437" s="15" t="s">
        <v>4646</v>
      </c>
      <c r="D437" s="12" t="str">
        <f>"0923-7534"</f>
        <v>0923-7534</v>
      </c>
      <c r="E437" s="5">
        <v>32.975999999999999</v>
      </c>
      <c r="F437" s="5">
        <v>0.97499999999999998</v>
      </c>
    </row>
    <row r="438" spans="2:6" x14ac:dyDescent="0.2">
      <c r="B438" s="9" t="s">
        <v>4960</v>
      </c>
      <c r="C438" s="15" t="s">
        <v>4647</v>
      </c>
      <c r="D438" s="12" t="str">
        <f>"0003-4894"</f>
        <v>0003-4894</v>
      </c>
      <c r="E438" s="5">
        <v>1.5469999999999999</v>
      </c>
      <c r="F438" s="5">
        <v>0.27300000000000002</v>
      </c>
    </row>
    <row r="439" spans="2:6" x14ac:dyDescent="0.2">
      <c r="B439" s="9" t="s">
        <v>8216</v>
      </c>
      <c r="C439" s="15" t="s">
        <v>8217</v>
      </c>
      <c r="D439" s="12" t="str">
        <f>"2224-5839"</f>
        <v>2224-5839</v>
      </c>
      <c r="E439" s="5">
        <v>2.5950000000000002</v>
      </c>
      <c r="F439" s="5">
        <v>0.46700000000000003</v>
      </c>
    </row>
    <row r="440" spans="2:6" x14ac:dyDescent="0.2">
      <c r="B440" s="9" t="s">
        <v>4961</v>
      </c>
      <c r="C440" s="15" t="s">
        <v>4648</v>
      </c>
      <c r="D440" s="12" t="str">
        <f>"0242-6498"</f>
        <v>0242-6498</v>
      </c>
      <c r="E440" s="5">
        <v>0.40699999999999997</v>
      </c>
      <c r="F440" s="5">
        <v>3.9E-2</v>
      </c>
    </row>
    <row r="441" spans="2:6" x14ac:dyDescent="0.2">
      <c r="B441" s="9" t="s">
        <v>4962</v>
      </c>
      <c r="C441" s="15" t="s">
        <v>4649</v>
      </c>
      <c r="D441" s="12" t="str">
        <f>"1060-0280"</f>
        <v>1060-0280</v>
      </c>
      <c r="E441" s="5">
        <v>3.1539999999999999</v>
      </c>
      <c r="F441" s="5">
        <v>0.44700000000000001</v>
      </c>
    </row>
    <row r="442" spans="2:6" x14ac:dyDescent="0.2">
      <c r="B442" s="9" t="s">
        <v>8218</v>
      </c>
      <c r="C442" s="15" t="s">
        <v>8219</v>
      </c>
      <c r="D442" s="12" t="str">
        <f>"1877-0657"</f>
        <v>1877-0657</v>
      </c>
      <c r="E442" s="5">
        <v>4.9189999999999996</v>
      </c>
      <c r="F442" s="5">
        <v>0.98299999999999998</v>
      </c>
    </row>
    <row r="443" spans="2:6" x14ac:dyDescent="0.2">
      <c r="B443" s="9" t="s">
        <v>4963</v>
      </c>
      <c r="C443" s="15" t="s">
        <v>4650</v>
      </c>
      <c r="D443" s="12" t="str">
        <f>"0148-7043"</f>
        <v>0148-7043</v>
      </c>
      <c r="E443" s="5">
        <v>1.5389999999999999</v>
      </c>
      <c r="F443" s="5">
        <v>0.224</v>
      </c>
    </row>
    <row r="444" spans="2:6" x14ac:dyDescent="0.2">
      <c r="B444" s="9" t="s">
        <v>4964</v>
      </c>
      <c r="C444" s="15" t="s">
        <v>4651</v>
      </c>
      <c r="D444" s="12" t="str">
        <f>"0091-1798"</f>
        <v>0091-1798</v>
      </c>
      <c r="E444" s="5">
        <v>2.452</v>
      </c>
      <c r="F444" s="5">
        <v>0.76</v>
      </c>
    </row>
    <row r="445" spans="2:6" x14ac:dyDescent="0.2">
      <c r="B445" s="9" t="s">
        <v>1798</v>
      </c>
      <c r="C445" s="15" t="s">
        <v>1799</v>
      </c>
      <c r="D445" s="12" t="str">
        <f>"0003-5033"</f>
        <v>0003-5033</v>
      </c>
      <c r="E445" s="5">
        <v>0.5</v>
      </c>
      <c r="F445" s="5">
        <v>0.05</v>
      </c>
    </row>
    <row r="446" spans="2:6" x14ac:dyDescent="0.2">
      <c r="B446" s="9" t="s">
        <v>4965</v>
      </c>
      <c r="C446" s="15" t="s">
        <v>4652</v>
      </c>
      <c r="D446" s="12" t="str">
        <f>"0003-4967"</f>
        <v>0003-4967</v>
      </c>
      <c r="E446" s="5">
        <v>19.103000000000002</v>
      </c>
      <c r="F446" s="5">
        <v>0.97099999999999997</v>
      </c>
    </row>
    <row r="447" spans="2:6" x14ac:dyDescent="0.2">
      <c r="B447" s="9" t="s">
        <v>4966</v>
      </c>
      <c r="C447" s="15" t="s">
        <v>4653</v>
      </c>
      <c r="D447" s="12" t="str">
        <f>"0035-8843"</f>
        <v>0035-8843</v>
      </c>
      <c r="E447" s="5">
        <v>1.891</v>
      </c>
      <c r="F447" s="5">
        <v>0.34799999999999998</v>
      </c>
    </row>
    <row r="448" spans="2:6" x14ac:dyDescent="0.2">
      <c r="B448" s="9" t="s">
        <v>4967</v>
      </c>
      <c r="C448" s="15" t="s">
        <v>4654</v>
      </c>
      <c r="D448" s="12" t="str">
        <f>"0256-4947"</f>
        <v>0256-4947</v>
      </c>
      <c r="E448" s="5">
        <v>1.526</v>
      </c>
      <c r="F448" s="5">
        <v>0.34100000000000003</v>
      </c>
    </row>
    <row r="449" spans="2:6" x14ac:dyDescent="0.2">
      <c r="B449" s="9" t="s">
        <v>4968</v>
      </c>
      <c r="C449" s="15" t="s">
        <v>4655</v>
      </c>
      <c r="D449" s="12" t="str">
        <f>"0003-3790"</f>
        <v>0003-3790</v>
      </c>
      <c r="E449" s="5">
        <v>0.56499999999999995</v>
      </c>
      <c r="F449" s="5">
        <v>0.29699999999999999</v>
      </c>
    </row>
    <row r="450" spans="2:6" x14ac:dyDescent="0.2">
      <c r="B450" s="9" t="s">
        <v>4969</v>
      </c>
      <c r="C450" s="15" t="s">
        <v>4656</v>
      </c>
      <c r="D450" s="12" t="str">
        <f>"0090-5364"</f>
        <v>0090-5364</v>
      </c>
      <c r="E450" s="5">
        <v>4.0279999999999996</v>
      </c>
      <c r="F450" s="5">
        <v>0.92</v>
      </c>
    </row>
    <row r="451" spans="2:6" x14ac:dyDescent="0.2">
      <c r="B451" s="9" t="s">
        <v>4970</v>
      </c>
      <c r="C451" s="15" t="s">
        <v>4657</v>
      </c>
      <c r="D451" s="12" t="str">
        <f>"0003-4932"</f>
        <v>0003-4932</v>
      </c>
      <c r="E451" s="5">
        <v>12.968999999999999</v>
      </c>
      <c r="F451" s="5">
        <v>0.995</v>
      </c>
    </row>
    <row r="452" spans="2:6" x14ac:dyDescent="0.2">
      <c r="B452" s="9" t="s">
        <v>4971</v>
      </c>
      <c r="C452" s="15" t="s">
        <v>4658</v>
      </c>
      <c r="D452" s="12" t="str">
        <f>"1068-9265"</f>
        <v>1068-9265</v>
      </c>
      <c r="E452" s="5">
        <v>5.3440000000000003</v>
      </c>
      <c r="F452" s="5">
        <v>0.91400000000000003</v>
      </c>
    </row>
    <row r="453" spans="2:6" x14ac:dyDescent="0.2">
      <c r="B453" s="9" t="s">
        <v>8220</v>
      </c>
      <c r="C453" s="15" t="s">
        <v>8221</v>
      </c>
      <c r="D453" s="12" t="str">
        <f>"2288-6575"</f>
        <v>2288-6575</v>
      </c>
      <c r="E453" s="5">
        <v>1.859</v>
      </c>
      <c r="F453" s="5">
        <v>0.314</v>
      </c>
    </row>
    <row r="454" spans="2:6" x14ac:dyDescent="0.2">
      <c r="B454" s="9" t="s">
        <v>8222</v>
      </c>
      <c r="C454" s="15" t="s">
        <v>8223</v>
      </c>
      <c r="D454" s="12" t="str">
        <f>"1341-1098"</f>
        <v>1341-1098</v>
      </c>
      <c r="E454" s="5">
        <v>1.52</v>
      </c>
      <c r="F454" s="5">
        <v>0.214</v>
      </c>
    </row>
    <row r="455" spans="2:6" x14ac:dyDescent="0.2">
      <c r="B455" s="9" t="s">
        <v>8224</v>
      </c>
      <c r="C455" s="15" t="s">
        <v>8225</v>
      </c>
      <c r="D455" s="12" t="str">
        <f>"1817-1737"</f>
        <v>1817-1737</v>
      </c>
      <c r="E455" s="5">
        <v>2.2189999999999999</v>
      </c>
      <c r="F455" s="5">
        <v>0.33300000000000002</v>
      </c>
    </row>
    <row r="456" spans="2:6" x14ac:dyDescent="0.2">
      <c r="B456" s="9" t="s">
        <v>4972</v>
      </c>
      <c r="C456" s="15" t="s">
        <v>4659</v>
      </c>
      <c r="D456" s="12" t="str">
        <f>"0003-4975"</f>
        <v>0003-4975</v>
      </c>
      <c r="E456" s="5">
        <v>4.33</v>
      </c>
      <c r="F456" s="5">
        <v>0.83299999999999996</v>
      </c>
    </row>
    <row r="457" spans="2:6" x14ac:dyDescent="0.2">
      <c r="B457" s="9" t="s">
        <v>8226</v>
      </c>
      <c r="C457" s="15" t="s">
        <v>8227</v>
      </c>
      <c r="D457" s="12" t="str">
        <f>"2305-5839"</f>
        <v>2305-5839</v>
      </c>
      <c r="E457" s="5">
        <v>3.9319999999999999</v>
      </c>
      <c r="F457" s="5">
        <v>0.48599999999999999</v>
      </c>
    </row>
    <row r="458" spans="2:6" x14ac:dyDescent="0.2">
      <c r="B458" s="9" t="s">
        <v>1800</v>
      </c>
      <c r="C458" s="15" t="s">
        <v>1801</v>
      </c>
      <c r="D458" s="12" t="str">
        <f>"2329-0358"</f>
        <v>2329-0358</v>
      </c>
      <c r="E458" s="5">
        <v>1.53</v>
      </c>
      <c r="F458" s="5">
        <v>0.219</v>
      </c>
    </row>
    <row r="459" spans="2:6" x14ac:dyDescent="0.2">
      <c r="B459" s="9" t="s">
        <v>4974</v>
      </c>
      <c r="C459" s="15" t="s">
        <v>8228</v>
      </c>
      <c r="D459" s="12" t="str">
        <f>"0065-7743"</f>
        <v>0065-7743</v>
      </c>
      <c r="E459" s="5">
        <v>1.0589999999999999</v>
      </c>
      <c r="F459" s="5">
        <v>7.2999999999999995E-2</v>
      </c>
    </row>
    <row r="460" spans="2:6" x14ac:dyDescent="0.2">
      <c r="B460" s="9" t="s">
        <v>8229</v>
      </c>
      <c r="C460" s="15" t="s">
        <v>8230</v>
      </c>
      <c r="D460" s="12" t="str">
        <f>"1936-1335"</f>
        <v>1936-1335</v>
      </c>
      <c r="E460" s="5">
        <v>10.744999999999999</v>
      </c>
      <c r="F460" s="5">
        <v>0.98799999999999999</v>
      </c>
    </row>
    <row r="461" spans="2:6" x14ac:dyDescent="0.2">
      <c r="B461" s="9" t="s">
        <v>8231</v>
      </c>
      <c r="C461" s="15" t="s">
        <v>8232</v>
      </c>
      <c r="D461" s="12" t="str">
        <f>"2165-8102"</f>
        <v>2165-8102</v>
      </c>
      <c r="E461" s="5">
        <v>8.923</v>
      </c>
      <c r="F461" s="5">
        <v>1</v>
      </c>
    </row>
    <row r="462" spans="2:6" x14ac:dyDescent="0.2">
      <c r="B462" s="9" t="s">
        <v>4975</v>
      </c>
      <c r="C462" s="15" t="s">
        <v>8233</v>
      </c>
      <c r="D462" s="12" t="str">
        <f>"0066-4154"</f>
        <v>0066-4154</v>
      </c>
      <c r="E462" s="5">
        <v>23.643000000000001</v>
      </c>
      <c r="F462" s="5">
        <v>0.99</v>
      </c>
    </row>
    <row r="463" spans="2:6" x14ac:dyDescent="0.2">
      <c r="B463" s="9" t="s">
        <v>4976</v>
      </c>
      <c r="C463" s="15" t="s">
        <v>8234</v>
      </c>
      <c r="D463" s="12" t="str">
        <f>"1523-9829"</f>
        <v>1523-9829</v>
      </c>
      <c r="E463" s="5">
        <v>9.59</v>
      </c>
      <c r="F463" s="5">
        <v>0.90800000000000003</v>
      </c>
    </row>
    <row r="464" spans="2:6" x14ac:dyDescent="0.2">
      <c r="B464" s="9" t="s">
        <v>1802</v>
      </c>
      <c r="C464" s="15" t="s">
        <v>1803</v>
      </c>
      <c r="D464" s="12" t="str">
        <f>"1936-122X"</f>
        <v>1936-122X</v>
      </c>
      <c r="E464" s="5">
        <v>12.981</v>
      </c>
      <c r="F464" s="5">
        <v>0.98599999999999999</v>
      </c>
    </row>
    <row r="465" spans="2:6" x14ac:dyDescent="0.2">
      <c r="B465" s="9" t="s">
        <v>8235</v>
      </c>
      <c r="C465" s="15" t="s">
        <v>8236</v>
      </c>
      <c r="D465" s="12" t="str">
        <f>"2472-3428"</f>
        <v>2472-3428</v>
      </c>
      <c r="E465" s="5">
        <v>9.391</v>
      </c>
      <c r="F465" s="5">
        <v>0.876</v>
      </c>
    </row>
    <row r="466" spans="2:6" x14ac:dyDescent="0.2">
      <c r="B466" s="9" t="s">
        <v>4977</v>
      </c>
      <c r="C466" s="15" t="s">
        <v>8237</v>
      </c>
      <c r="D466" s="12" t="str">
        <f>"1081-0706"</f>
        <v>1081-0706</v>
      </c>
      <c r="E466" s="5">
        <v>13.827</v>
      </c>
      <c r="F466" s="5">
        <v>1</v>
      </c>
    </row>
    <row r="467" spans="2:6" x14ac:dyDescent="0.2">
      <c r="B467" s="9" t="s">
        <v>1804</v>
      </c>
      <c r="C467" s="15" t="s">
        <v>8238</v>
      </c>
      <c r="D467" s="12" t="str">
        <f>"1548-5943"</f>
        <v>1548-5943</v>
      </c>
      <c r="E467" s="5">
        <v>18.561</v>
      </c>
      <c r="F467" s="5">
        <v>1</v>
      </c>
    </row>
    <row r="468" spans="2:6" x14ac:dyDescent="0.2">
      <c r="B468" s="9" t="s">
        <v>4978</v>
      </c>
      <c r="C468" s="15" t="s">
        <v>8239</v>
      </c>
      <c r="D468" s="12" t="str">
        <f>"0066-4197"</f>
        <v>0066-4197</v>
      </c>
      <c r="E468" s="5">
        <v>16.829999999999998</v>
      </c>
      <c r="F468" s="5">
        <v>0.98299999999999998</v>
      </c>
    </row>
    <row r="469" spans="2:6" x14ac:dyDescent="0.2">
      <c r="B469" s="9" t="s">
        <v>4979</v>
      </c>
      <c r="C469" s="15" t="s">
        <v>8240</v>
      </c>
      <c r="D469" s="12" t="str">
        <f>"1527-8204"</f>
        <v>1527-8204</v>
      </c>
      <c r="E469" s="5">
        <v>8.9290000000000003</v>
      </c>
      <c r="F469" s="5">
        <v>0.92600000000000005</v>
      </c>
    </row>
    <row r="470" spans="2:6" x14ac:dyDescent="0.2">
      <c r="B470" s="9" t="s">
        <v>4980</v>
      </c>
      <c r="C470" s="15" t="s">
        <v>8241</v>
      </c>
      <c r="D470" s="12" t="str">
        <f>"1545-3278"</f>
        <v>1545-3278</v>
      </c>
      <c r="E470" s="5">
        <v>28.527000000000001</v>
      </c>
      <c r="F470" s="5">
        <v>0.98799999999999999</v>
      </c>
    </row>
    <row r="471" spans="2:6" x14ac:dyDescent="0.2">
      <c r="B471" s="9" t="s">
        <v>4981</v>
      </c>
      <c r="C471" s="15" t="s">
        <v>8242</v>
      </c>
      <c r="D471" s="12" t="str">
        <f>"0066-4219"</f>
        <v>0066-4219</v>
      </c>
      <c r="E471" s="5">
        <v>13.739000000000001</v>
      </c>
      <c r="F471" s="5">
        <v>0.96399999999999997</v>
      </c>
    </row>
    <row r="472" spans="2:6" x14ac:dyDescent="0.2">
      <c r="B472" s="9" t="s">
        <v>4982</v>
      </c>
      <c r="C472" s="15" t="s">
        <v>8243</v>
      </c>
      <c r="D472" s="12" t="str">
        <f>"0066-4227"</f>
        <v>0066-4227</v>
      </c>
      <c r="E472" s="5">
        <v>15.5</v>
      </c>
      <c r="F472" s="5">
        <v>0.95599999999999996</v>
      </c>
    </row>
    <row r="473" spans="2:6" x14ac:dyDescent="0.2">
      <c r="B473" s="9" t="s">
        <v>4983</v>
      </c>
      <c r="C473" s="15" t="s">
        <v>8244</v>
      </c>
      <c r="D473" s="12" t="str">
        <f>"0147-006X"</f>
        <v>0147-006X</v>
      </c>
      <c r="E473" s="5">
        <v>12.449</v>
      </c>
      <c r="F473" s="5">
        <v>0.95199999999999996</v>
      </c>
    </row>
    <row r="474" spans="2:6" x14ac:dyDescent="0.2">
      <c r="B474" s="9" t="s">
        <v>4984</v>
      </c>
      <c r="C474" s="15" t="s">
        <v>8245</v>
      </c>
      <c r="D474" s="12" t="str">
        <f>"0199-9885"</f>
        <v>0199-9885</v>
      </c>
      <c r="E474" s="5">
        <v>11.848000000000001</v>
      </c>
      <c r="F474" s="5">
        <v>0.98899999999999999</v>
      </c>
    </row>
    <row r="475" spans="2:6" x14ac:dyDescent="0.2">
      <c r="B475" s="9" t="s">
        <v>8246</v>
      </c>
      <c r="C475" s="15" t="s">
        <v>8247</v>
      </c>
      <c r="D475" s="12" t="str">
        <f>"2327-0608"</f>
        <v>2327-0608</v>
      </c>
      <c r="E475" s="5">
        <v>18.332999999999998</v>
      </c>
      <c r="F475" s="5">
        <v>1</v>
      </c>
    </row>
    <row r="476" spans="2:6" x14ac:dyDescent="0.2">
      <c r="B476" s="9" t="s">
        <v>1805</v>
      </c>
      <c r="C476" s="15" t="s">
        <v>1806</v>
      </c>
      <c r="D476" s="12" t="str">
        <f>"1553-4006"</f>
        <v>1553-4006</v>
      </c>
      <c r="E476" s="5">
        <v>23.472000000000001</v>
      </c>
      <c r="F476" s="5">
        <v>1</v>
      </c>
    </row>
    <row r="477" spans="2:6" x14ac:dyDescent="0.2">
      <c r="B477" s="9" t="s">
        <v>4985</v>
      </c>
      <c r="C477" s="15" t="s">
        <v>8248</v>
      </c>
      <c r="D477" s="12" t="str">
        <f>"0362-1642"</f>
        <v>0362-1642</v>
      </c>
      <c r="E477" s="5">
        <v>13.82</v>
      </c>
      <c r="F477" s="5">
        <v>1</v>
      </c>
    </row>
    <row r="478" spans="2:6" x14ac:dyDescent="0.2">
      <c r="B478" s="9" t="s">
        <v>4986</v>
      </c>
      <c r="C478" s="15" t="s">
        <v>8249</v>
      </c>
      <c r="D478" s="12" t="str">
        <f>"0066-4278"</f>
        <v>0066-4278</v>
      </c>
      <c r="E478" s="5">
        <v>19.318000000000001</v>
      </c>
      <c r="F478" s="5">
        <v>0.98799999999999999</v>
      </c>
    </row>
    <row r="479" spans="2:6" x14ac:dyDescent="0.2">
      <c r="B479" s="9" t="s">
        <v>4987</v>
      </c>
      <c r="C479" s="15" t="s">
        <v>8250</v>
      </c>
      <c r="D479" s="12" t="str">
        <f>"0066-4308"</f>
        <v>0066-4308</v>
      </c>
      <c r="E479" s="5">
        <v>24.137</v>
      </c>
      <c r="F479" s="5">
        <v>1</v>
      </c>
    </row>
    <row r="480" spans="2:6" x14ac:dyDescent="0.2">
      <c r="B480" s="9" t="s">
        <v>4988</v>
      </c>
      <c r="C480" s="15" t="s">
        <v>8251</v>
      </c>
      <c r="D480" s="12" t="str">
        <f>"0163-7525"</f>
        <v>0163-7525</v>
      </c>
      <c r="E480" s="5">
        <v>21.981000000000002</v>
      </c>
      <c r="F480" s="5">
        <v>0.99</v>
      </c>
    </row>
    <row r="481" spans="2:6" x14ac:dyDescent="0.2">
      <c r="B481" s="9" t="s">
        <v>8252</v>
      </c>
      <c r="C481" s="15" t="s">
        <v>8253</v>
      </c>
      <c r="D481" s="12" t="str">
        <f>"2326-8298"</f>
        <v>2326-8298</v>
      </c>
      <c r="E481" s="5">
        <v>5.81</v>
      </c>
      <c r="F481" s="5">
        <v>0.95199999999999996</v>
      </c>
    </row>
    <row r="482" spans="2:6" x14ac:dyDescent="0.2">
      <c r="B482" s="9" t="s">
        <v>8254</v>
      </c>
      <c r="C482" s="15" t="s">
        <v>8255</v>
      </c>
      <c r="D482" s="12" t="str">
        <f>"2327-056X"</f>
        <v>2327-056X</v>
      </c>
      <c r="E482" s="5">
        <v>10.430999999999999</v>
      </c>
      <c r="F482" s="5">
        <v>0.97199999999999998</v>
      </c>
    </row>
    <row r="483" spans="2:6" x14ac:dyDescent="0.2">
      <c r="B483" s="9" t="s">
        <v>8256</v>
      </c>
      <c r="C483" s="15" t="s">
        <v>8257</v>
      </c>
      <c r="D483" s="12" t="str">
        <f>"2374-4642"</f>
        <v>2374-4642</v>
      </c>
      <c r="E483" s="5">
        <v>6.4219999999999997</v>
      </c>
      <c r="F483" s="5">
        <v>0.95199999999999996</v>
      </c>
    </row>
    <row r="484" spans="2:6" x14ac:dyDescent="0.2">
      <c r="B484" s="9" t="s">
        <v>4973</v>
      </c>
      <c r="C484" s="15" t="s">
        <v>4660</v>
      </c>
      <c r="D484" s="12" t="str">
        <f>"0890-5096"</f>
        <v>0890-5096</v>
      </c>
      <c r="E484" s="5">
        <v>1.466</v>
      </c>
      <c r="F484" s="5">
        <v>0.2</v>
      </c>
    </row>
    <row r="485" spans="2:6" x14ac:dyDescent="0.2">
      <c r="B485" s="9" t="s">
        <v>8258</v>
      </c>
      <c r="C485" s="15" t="s">
        <v>8259</v>
      </c>
      <c r="D485" s="12" t="str">
        <f>"2398-7308"</f>
        <v>2398-7308</v>
      </c>
      <c r="E485" s="5">
        <v>2.1789999999999998</v>
      </c>
      <c r="F485" s="5">
        <v>0.40600000000000003</v>
      </c>
    </row>
    <row r="486" spans="2:6" x14ac:dyDescent="0.2">
      <c r="B486" s="9" t="s">
        <v>1763</v>
      </c>
      <c r="C486" s="15" t="s">
        <v>1764</v>
      </c>
      <c r="D486" s="12" t="str">
        <f>"1695-4033"</f>
        <v>1695-4033</v>
      </c>
      <c r="E486" s="5">
        <v>1.5</v>
      </c>
      <c r="F486" s="5">
        <v>0.23300000000000001</v>
      </c>
    </row>
    <row r="487" spans="2:6" x14ac:dyDescent="0.2">
      <c r="B487" s="9" t="s">
        <v>1765</v>
      </c>
      <c r="C487" s="15" t="s">
        <v>1766</v>
      </c>
      <c r="D487" s="12" t="str">
        <f>"0212-9728"</f>
        <v>0212-9728</v>
      </c>
      <c r="E487" s="5">
        <v>2.0459999999999998</v>
      </c>
      <c r="F487" s="5">
        <v>0.47499999999999998</v>
      </c>
    </row>
    <row r="488" spans="2:6" x14ac:dyDescent="0.2">
      <c r="B488" s="9" t="s">
        <v>1767</v>
      </c>
      <c r="C488" s="15" t="s">
        <v>1768</v>
      </c>
      <c r="D488" s="12" t="str">
        <f>"1137-6627"</f>
        <v>1137-6627</v>
      </c>
      <c r="E488" s="5">
        <v>0.82899999999999996</v>
      </c>
      <c r="F488" s="5">
        <v>5.0999999999999997E-2</v>
      </c>
    </row>
    <row r="489" spans="2:6" x14ac:dyDescent="0.2">
      <c r="B489" s="9" t="s">
        <v>8260</v>
      </c>
      <c r="C489" s="15" t="s">
        <v>8261</v>
      </c>
      <c r="D489" s="12" t="str">
        <f>"1364-8470"</f>
        <v>1364-8470</v>
      </c>
      <c r="E489" s="5">
        <v>1.05</v>
      </c>
      <c r="F489" s="5">
        <v>0.36399999999999999</v>
      </c>
    </row>
    <row r="490" spans="2:6" x14ac:dyDescent="0.2">
      <c r="B490" s="9" t="s">
        <v>4989</v>
      </c>
      <c r="C490" s="15" t="s">
        <v>4989</v>
      </c>
      <c r="D490" s="12" t="str">
        <f>"0892-7936"</f>
        <v>0892-7936</v>
      </c>
      <c r="E490" s="5">
        <v>1.6890000000000001</v>
      </c>
      <c r="F490" s="5">
        <v>0.60299999999999998</v>
      </c>
    </row>
    <row r="491" spans="2:6" x14ac:dyDescent="0.2">
      <c r="B491" s="9" t="s">
        <v>8262</v>
      </c>
      <c r="C491" s="15" t="s">
        <v>8262</v>
      </c>
      <c r="D491" s="12" t="str">
        <f>"2079-6382"</f>
        <v>2079-6382</v>
      </c>
      <c r="E491" s="5">
        <v>4.6390000000000002</v>
      </c>
      <c r="F491" s="5">
        <v>0.72799999999999998</v>
      </c>
    </row>
    <row r="492" spans="2:6" x14ac:dyDescent="0.2">
      <c r="B492" s="9" t="s">
        <v>8263</v>
      </c>
      <c r="C492" s="15" t="s">
        <v>8264</v>
      </c>
      <c r="D492" s="12" t="str">
        <f>"1875-5992"</f>
        <v>1875-5992</v>
      </c>
      <c r="E492" s="5">
        <v>2.5049999999999999</v>
      </c>
      <c r="F492" s="5">
        <v>0.28999999999999998</v>
      </c>
    </row>
    <row r="493" spans="2:6" x14ac:dyDescent="0.2">
      <c r="B493" s="9" t="s">
        <v>4990</v>
      </c>
      <c r="C493" s="15" t="s">
        <v>4661</v>
      </c>
      <c r="D493" s="12" t="str">
        <f>"0959-4973"</f>
        <v>0959-4973</v>
      </c>
      <c r="E493" s="5">
        <v>2.2480000000000002</v>
      </c>
      <c r="F493" s="5">
        <v>0.247</v>
      </c>
    </row>
    <row r="494" spans="2:6" x14ac:dyDescent="0.2">
      <c r="B494" s="9" t="s">
        <v>4991</v>
      </c>
      <c r="C494" s="15" t="s">
        <v>4662</v>
      </c>
      <c r="D494" s="12" t="str">
        <f>"0250-7005"</f>
        <v>0250-7005</v>
      </c>
      <c r="E494" s="5">
        <v>2.48</v>
      </c>
      <c r="F494" s="5">
        <v>0.13700000000000001</v>
      </c>
    </row>
    <row r="495" spans="2:6" x14ac:dyDescent="0.2">
      <c r="B495" s="9" t="s">
        <v>4992</v>
      </c>
      <c r="C495" s="15" t="s">
        <v>4663</v>
      </c>
      <c r="D495" s="12" t="str">
        <f>"0066-4804"</f>
        <v>0066-4804</v>
      </c>
      <c r="E495" s="5">
        <v>5.1909999999999998</v>
      </c>
      <c r="F495" s="5">
        <v>0.79600000000000004</v>
      </c>
    </row>
    <row r="496" spans="2:6" x14ac:dyDescent="0.2">
      <c r="B496" s="9" t="s">
        <v>8265</v>
      </c>
      <c r="C496" s="15" t="s">
        <v>8266</v>
      </c>
      <c r="D496" s="12" t="str">
        <f>"2047-2994"</f>
        <v>2047-2994</v>
      </c>
      <c r="E496" s="5">
        <v>4.8869999999999996</v>
      </c>
      <c r="F496" s="5">
        <v>0.87</v>
      </c>
    </row>
    <row r="497" spans="2:6" x14ac:dyDescent="0.2">
      <c r="B497" s="9" t="s">
        <v>8267</v>
      </c>
      <c r="C497" s="15" t="s">
        <v>8268</v>
      </c>
      <c r="D497" s="12" t="str">
        <f>"2076-3921"</f>
        <v>2076-3921</v>
      </c>
      <c r="E497" s="5">
        <v>6.3120000000000003</v>
      </c>
      <c r="F497" s="5">
        <v>0.93</v>
      </c>
    </row>
    <row r="498" spans="2:6" x14ac:dyDescent="0.2">
      <c r="B498" s="9" t="s">
        <v>4993</v>
      </c>
      <c r="C498" s="15" t="s">
        <v>4664</v>
      </c>
      <c r="D498" s="12" t="str">
        <f>"1523-0864"</f>
        <v>1523-0864</v>
      </c>
      <c r="E498" s="5">
        <v>8.4009999999999998</v>
      </c>
      <c r="F498" s="5">
        <v>0.90300000000000002</v>
      </c>
    </row>
    <row r="499" spans="2:6" x14ac:dyDescent="0.2">
      <c r="B499" s="9" t="s">
        <v>4994</v>
      </c>
      <c r="C499" s="15" t="s">
        <v>4665</v>
      </c>
      <c r="D499" s="12" t="str">
        <f>"0166-3542"</f>
        <v>0166-3542</v>
      </c>
      <c r="E499" s="5">
        <v>5.97</v>
      </c>
      <c r="F499" s="5">
        <v>0.876</v>
      </c>
    </row>
    <row r="500" spans="2:6" ht="25.5" x14ac:dyDescent="0.2">
      <c r="B500" s="9" t="s">
        <v>4995</v>
      </c>
      <c r="C500" s="15" t="s">
        <v>8269</v>
      </c>
      <c r="D500" s="12" t="str">
        <f>"0003-6072"</f>
        <v>0003-6072</v>
      </c>
      <c r="E500" s="5">
        <v>2.2709999999999999</v>
      </c>
      <c r="F500" s="5">
        <v>0.17799999999999999</v>
      </c>
    </row>
    <row r="501" spans="2:6" x14ac:dyDescent="0.2">
      <c r="B501" s="9" t="s">
        <v>8270</v>
      </c>
      <c r="C501" s="15" t="s">
        <v>8271</v>
      </c>
      <c r="D501" s="12" t="str">
        <f>"1133-0740"</f>
        <v>1133-0740</v>
      </c>
      <c r="E501" s="5">
        <v>1.5449999999999999</v>
      </c>
      <c r="F501" s="5">
        <v>0.58299999999999996</v>
      </c>
    </row>
    <row r="502" spans="2:6" x14ac:dyDescent="0.2">
      <c r="B502" s="9" t="s">
        <v>1807</v>
      </c>
      <c r="C502" s="15" t="s">
        <v>1808</v>
      </c>
      <c r="D502" s="12" t="str">
        <f>"1061-5806"</f>
        <v>1061-5806</v>
      </c>
      <c r="E502" s="5">
        <v>2.887</v>
      </c>
      <c r="F502" s="5">
        <v>0.66200000000000003</v>
      </c>
    </row>
    <row r="503" spans="2:6" x14ac:dyDescent="0.2">
      <c r="B503" s="9" t="s">
        <v>4996</v>
      </c>
      <c r="C503" s="15" t="s">
        <v>4666</v>
      </c>
      <c r="D503" s="12" t="str">
        <f>"1445-2197"</f>
        <v>1445-2197</v>
      </c>
      <c r="E503" s="5">
        <v>1.8720000000000001</v>
      </c>
      <c r="F503" s="5">
        <v>0.32400000000000001</v>
      </c>
    </row>
    <row r="504" spans="2:6" x14ac:dyDescent="0.2">
      <c r="B504" s="9" t="s">
        <v>8272</v>
      </c>
      <c r="C504" s="15" t="s">
        <v>8273</v>
      </c>
      <c r="D504" s="12" t="str">
        <f>"1878-0369"</f>
        <v>1878-0369</v>
      </c>
      <c r="E504" s="5">
        <v>0.67600000000000005</v>
      </c>
      <c r="F504" s="5">
        <v>0.04</v>
      </c>
    </row>
    <row r="505" spans="2:6" x14ac:dyDescent="0.2">
      <c r="B505" s="9" t="s">
        <v>4997</v>
      </c>
      <c r="C505" s="15" t="s">
        <v>4997</v>
      </c>
      <c r="D505" s="12" t="str">
        <f>"0268-7038"</f>
        <v>0268-7038</v>
      </c>
      <c r="E505" s="5">
        <v>2.7730000000000001</v>
      </c>
      <c r="F505" s="5">
        <v>0.88</v>
      </c>
    </row>
    <row r="506" spans="2:6" x14ac:dyDescent="0.2">
      <c r="B506" s="9" t="s">
        <v>8274</v>
      </c>
      <c r="C506" s="15" t="s">
        <v>8275</v>
      </c>
      <c r="D506" s="12" t="str">
        <f>"2378-0967"</f>
        <v>2378-0967</v>
      </c>
      <c r="E506" s="5">
        <v>5.6719999999999997</v>
      </c>
      <c r="F506" s="5">
        <v>0.88900000000000001</v>
      </c>
    </row>
    <row r="507" spans="2:6" x14ac:dyDescent="0.2">
      <c r="B507" s="9" t="s">
        <v>4998</v>
      </c>
      <c r="C507" s="15" t="s">
        <v>4998</v>
      </c>
      <c r="D507" s="12" t="str">
        <f>"0903-4641"</f>
        <v>0903-4641</v>
      </c>
      <c r="E507" s="5">
        <v>3.2050000000000001</v>
      </c>
      <c r="F507" s="5">
        <v>0.55800000000000005</v>
      </c>
    </row>
    <row r="508" spans="2:6" x14ac:dyDescent="0.2">
      <c r="B508" s="9" t="s">
        <v>4999</v>
      </c>
      <c r="C508" s="15" t="s">
        <v>4999</v>
      </c>
      <c r="D508" s="12" t="str">
        <f>"1360-8185"</f>
        <v>1360-8185</v>
      </c>
      <c r="E508" s="5">
        <v>4.6769999999999996</v>
      </c>
      <c r="F508" s="5">
        <v>0.64900000000000002</v>
      </c>
    </row>
    <row r="509" spans="2:6" x14ac:dyDescent="0.2">
      <c r="B509" s="9" t="s">
        <v>5000</v>
      </c>
      <c r="C509" s="15" t="s">
        <v>5000</v>
      </c>
      <c r="D509" s="12" t="str">
        <f>"1095-8304"</f>
        <v>1095-8304</v>
      </c>
      <c r="E509" s="5">
        <v>3.8679999999999999</v>
      </c>
      <c r="F509" s="5">
        <v>0.86799999999999999</v>
      </c>
    </row>
    <row r="510" spans="2:6" x14ac:dyDescent="0.2">
      <c r="B510" s="9" t="s">
        <v>5001</v>
      </c>
      <c r="C510" s="15" t="s">
        <v>4667</v>
      </c>
      <c r="D510" s="12" t="str">
        <f>"0003-682X"</f>
        <v>0003-682X</v>
      </c>
      <c r="E510" s="5">
        <v>2.6389999999999998</v>
      </c>
      <c r="F510" s="5">
        <v>0.67700000000000005</v>
      </c>
    </row>
    <row r="511" spans="2:6" x14ac:dyDescent="0.2">
      <c r="B511" s="9" t="s">
        <v>1809</v>
      </c>
      <c r="C511" s="15" t="s">
        <v>1810</v>
      </c>
      <c r="D511" s="12" t="str">
        <f>"0938-1279"</f>
        <v>0938-1279</v>
      </c>
      <c r="E511" s="5">
        <v>0.98399999999999999</v>
      </c>
      <c r="F511" s="5">
        <v>0.29099999999999998</v>
      </c>
    </row>
    <row r="512" spans="2:6" x14ac:dyDescent="0.2">
      <c r="B512" s="9" t="s">
        <v>5002</v>
      </c>
      <c r="C512" s="15" t="s">
        <v>4668</v>
      </c>
      <c r="D512" s="12" t="str">
        <f>"0168-1591"</f>
        <v>0168-1591</v>
      </c>
      <c r="E512" s="5">
        <v>2.448</v>
      </c>
      <c r="F512" s="5">
        <v>0.78100000000000003</v>
      </c>
    </row>
    <row r="513" spans="2:6" x14ac:dyDescent="0.2">
      <c r="B513" s="9" t="s">
        <v>5003</v>
      </c>
      <c r="C513" s="15" t="s">
        <v>4669</v>
      </c>
      <c r="D513" s="12" t="str">
        <f>"0273-2289"</f>
        <v>0273-2289</v>
      </c>
      <c r="E513" s="5">
        <v>2.9260000000000002</v>
      </c>
      <c r="F513" s="5">
        <v>0.45600000000000002</v>
      </c>
    </row>
    <row r="514" spans="2:6" x14ac:dyDescent="0.2">
      <c r="B514" s="9" t="s">
        <v>5004</v>
      </c>
      <c r="C514" s="15" t="s">
        <v>4670</v>
      </c>
      <c r="D514" s="12" t="str">
        <f>"0003-6838"</f>
        <v>0003-6838</v>
      </c>
      <c r="E514" s="5">
        <v>0.88600000000000001</v>
      </c>
      <c r="F514" s="5">
        <v>4.3999999999999997E-2</v>
      </c>
    </row>
    <row r="515" spans="2:6" x14ac:dyDescent="0.2">
      <c r="B515" s="9" t="s">
        <v>8276</v>
      </c>
      <c r="C515" s="15" t="s">
        <v>8277</v>
      </c>
      <c r="D515" s="12" t="str">
        <f>"1176-2322"</f>
        <v>1176-2322</v>
      </c>
      <c r="E515" s="5">
        <v>1.7809999999999999</v>
      </c>
      <c r="F515" s="5">
        <v>0.25</v>
      </c>
    </row>
    <row r="516" spans="2:6" x14ac:dyDescent="0.2">
      <c r="B516" s="9" t="s">
        <v>8278</v>
      </c>
      <c r="C516" s="15" t="s">
        <v>8279</v>
      </c>
      <c r="D516" s="12" t="str">
        <f>"1869-0327"</f>
        <v>1869-0327</v>
      </c>
      <c r="E516" s="5">
        <v>2.3420000000000001</v>
      </c>
      <c r="F516" s="5">
        <v>0.2</v>
      </c>
    </row>
    <row r="517" spans="2:6" x14ac:dyDescent="0.2">
      <c r="B517" s="9" t="s">
        <v>1811</v>
      </c>
      <c r="C517" s="15" t="s">
        <v>1812</v>
      </c>
      <c r="D517" s="12" t="str">
        <f>"0888-4080"</f>
        <v>0888-4080</v>
      </c>
      <c r="E517" s="5">
        <v>2.0049999999999999</v>
      </c>
      <c r="F517" s="5">
        <v>0.35599999999999998</v>
      </c>
    </row>
    <row r="518" spans="2:6" x14ac:dyDescent="0.2">
      <c r="B518" s="9" t="s">
        <v>8280</v>
      </c>
      <c r="C518" s="15" t="s">
        <v>8281</v>
      </c>
      <c r="D518" s="12" t="str">
        <f>"1088-8691"</f>
        <v>1088-8691</v>
      </c>
      <c r="E518" s="5">
        <v>3.4790000000000001</v>
      </c>
      <c r="F518" s="5">
        <v>0.72699999999999998</v>
      </c>
    </row>
    <row r="519" spans="2:6" x14ac:dyDescent="0.2">
      <c r="B519" s="9" t="s">
        <v>5005</v>
      </c>
      <c r="C519" s="15" t="s">
        <v>4671</v>
      </c>
      <c r="D519" s="12" t="str">
        <f>"0099-2240"</f>
        <v>0099-2240</v>
      </c>
      <c r="E519" s="5">
        <v>4.7919999999999998</v>
      </c>
      <c r="F519" s="5">
        <v>0.76600000000000001</v>
      </c>
    </row>
    <row r="520" spans="2:6" x14ac:dyDescent="0.2">
      <c r="B520" s="9" t="s">
        <v>8282</v>
      </c>
      <c r="C520" s="15" t="s">
        <v>8283</v>
      </c>
      <c r="D520" s="12" t="str">
        <f>"0003-6870"</f>
        <v>0003-6870</v>
      </c>
      <c r="E520" s="5">
        <v>3.661</v>
      </c>
      <c r="F520" s="5">
        <v>0.875</v>
      </c>
    </row>
    <row r="521" spans="2:6" x14ac:dyDescent="0.2">
      <c r="B521" s="9" t="s">
        <v>8284</v>
      </c>
      <c r="C521" s="15" t="s">
        <v>8285</v>
      </c>
      <c r="D521" s="12"/>
      <c r="E521" s="5">
        <v>2.5609999999999999</v>
      </c>
      <c r="F521" s="5">
        <v>0.67200000000000004</v>
      </c>
    </row>
    <row r="522" spans="2:6" x14ac:dyDescent="0.2">
      <c r="B522" s="9" t="s">
        <v>5006</v>
      </c>
      <c r="C522" s="15" t="s">
        <v>4672</v>
      </c>
      <c r="D522" s="12" t="str">
        <f>"1541-2016"</f>
        <v>1541-2016</v>
      </c>
      <c r="E522" s="5">
        <v>2.085</v>
      </c>
      <c r="F522" s="5">
        <v>0.57099999999999995</v>
      </c>
    </row>
    <row r="523" spans="2:6" x14ac:dyDescent="0.2">
      <c r="B523" s="9" t="s">
        <v>1813</v>
      </c>
      <c r="C523" s="15" t="s">
        <v>1814</v>
      </c>
      <c r="D523" s="12" t="str">
        <f>"0895-7347"</f>
        <v>0895-7347</v>
      </c>
      <c r="E523" s="5">
        <v>1.58</v>
      </c>
      <c r="F523" s="5">
        <v>0.25</v>
      </c>
    </row>
    <row r="524" spans="2:6" x14ac:dyDescent="0.2">
      <c r="B524" s="9" t="s">
        <v>5007</v>
      </c>
      <c r="C524" s="15" t="s">
        <v>4673</v>
      </c>
      <c r="D524" s="12" t="str">
        <f>"0175-7598"</f>
        <v>0175-7598</v>
      </c>
      <c r="E524" s="5">
        <v>4.8129999999999997</v>
      </c>
      <c r="F524" s="5">
        <v>0.77200000000000002</v>
      </c>
    </row>
    <row r="525" spans="2:6" x14ac:dyDescent="0.2">
      <c r="B525" s="9" t="s">
        <v>8286</v>
      </c>
      <c r="C525" s="15" t="s">
        <v>8287</v>
      </c>
      <c r="D525" s="12" t="str">
        <f>"2327-9095"</f>
        <v>2327-9095</v>
      </c>
      <c r="E525" s="5">
        <v>2.2480000000000002</v>
      </c>
      <c r="F525" s="5">
        <v>0.36399999999999999</v>
      </c>
    </row>
    <row r="526" spans="2:6" x14ac:dyDescent="0.2">
      <c r="B526" s="9" t="s">
        <v>8288</v>
      </c>
      <c r="C526" s="15" t="s">
        <v>8289</v>
      </c>
      <c r="D526" s="12" t="str">
        <f>"2162-2965"</f>
        <v>2162-2965</v>
      </c>
      <c r="E526" s="5">
        <v>1.4930000000000001</v>
      </c>
      <c r="F526" s="5">
        <v>0.182</v>
      </c>
    </row>
    <row r="527" spans="2:6" x14ac:dyDescent="0.2">
      <c r="B527" s="9" t="s">
        <v>5008</v>
      </c>
      <c r="C527" s="15" t="s">
        <v>4674</v>
      </c>
      <c r="D527" s="12" t="str">
        <f>"0897-1897"</f>
        <v>0897-1897</v>
      </c>
      <c r="E527" s="5">
        <v>2.2570000000000001</v>
      </c>
      <c r="F527" s="5">
        <v>0.69</v>
      </c>
    </row>
    <row r="528" spans="2:6" x14ac:dyDescent="0.2">
      <c r="B528" s="9" t="s">
        <v>5009</v>
      </c>
      <c r="C528" s="15" t="s">
        <v>4675</v>
      </c>
      <c r="D528" s="12" t="str">
        <f>"1559-128X"</f>
        <v>1559-128X</v>
      </c>
      <c r="E528" s="5">
        <v>1.98</v>
      </c>
      <c r="F528" s="5">
        <v>0.38400000000000001</v>
      </c>
    </row>
    <row r="529" spans="2:6" x14ac:dyDescent="0.2">
      <c r="B529" s="9" t="s">
        <v>5408</v>
      </c>
      <c r="C529" s="15" t="s">
        <v>4676</v>
      </c>
      <c r="D529" s="12" t="str">
        <f>"0946-2171"</f>
        <v>0946-2171</v>
      </c>
      <c r="E529" s="5">
        <v>2.0699999999999998</v>
      </c>
      <c r="F529" s="5">
        <v>0.42399999999999999</v>
      </c>
    </row>
    <row r="530" spans="2:6" x14ac:dyDescent="0.2">
      <c r="B530" s="9" t="s">
        <v>5382</v>
      </c>
      <c r="C530" s="15" t="s">
        <v>8290</v>
      </c>
      <c r="D530" s="12" t="str">
        <f>"1715-5320"</f>
        <v>1715-5320</v>
      </c>
      <c r="E530" s="5">
        <v>2.665</v>
      </c>
      <c r="F530" s="5">
        <v>0.48899999999999999</v>
      </c>
    </row>
    <row r="531" spans="2:6" x14ac:dyDescent="0.2">
      <c r="B531" s="9" t="s">
        <v>1815</v>
      </c>
      <c r="C531" s="15" t="s">
        <v>1816</v>
      </c>
      <c r="D531" s="12" t="str">
        <f>"0146-6216"</f>
        <v>0146-6216</v>
      </c>
      <c r="E531" s="5">
        <v>2.101</v>
      </c>
      <c r="F531" s="5">
        <v>0.53800000000000003</v>
      </c>
    </row>
    <row r="532" spans="2:6" x14ac:dyDescent="0.2">
      <c r="B532" s="9" t="s">
        <v>8291</v>
      </c>
      <c r="C532" s="15" t="s">
        <v>8292</v>
      </c>
      <c r="D532" s="12" t="str">
        <f>"1758-0846"</f>
        <v>1758-0846</v>
      </c>
      <c r="E532" s="5">
        <v>3.569</v>
      </c>
      <c r="F532" s="5">
        <v>0.63900000000000001</v>
      </c>
    </row>
    <row r="533" spans="2:6" x14ac:dyDescent="0.2">
      <c r="B533" s="9" t="s">
        <v>1818</v>
      </c>
      <c r="C533" s="15" t="s">
        <v>1819</v>
      </c>
      <c r="D533" s="12" t="str">
        <f>"0142-7164"</f>
        <v>0142-7164</v>
      </c>
      <c r="E533" s="5">
        <v>1.8380000000000001</v>
      </c>
      <c r="F533" s="5">
        <v>0.72399999999999998</v>
      </c>
    </row>
    <row r="534" spans="2:6" ht="25.5" x14ac:dyDescent="0.2">
      <c r="B534" s="9" t="s">
        <v>1817</v>
      </c>
      <c r="C534" s="15" t="s">
        <v>8293</v>
      </c>
      <c r="D534" s="12" t="str">
        <f>"0269-994X"</f>
        <v>0269-994X</v>
      </c>
      <c r="E534" s="5">
        <v>3.7120000000000002</v>
      </c>
      <c r="F534" s="5">
        <v>0.68700000000000006</v>
      </c>
    </row>
    <row r="535" spans="2:6" x14ac:dyDescent="0.2">
      <c r="B535" s="9" t="s">
        <v>1820</v>
      </c>
      <c r="C535" s="15" t="s">
        <v>1821</v>
      </c>
      <c r="D535" s="12" t="str">
        <f>"1090-0586"</f>
        <v>1090-0586</v>
      </c>
      <c r="E535" s="5">
        <v>2</v>
      </c>
      <c r="F535" s="5">
        <v>0.308</v>
      </c>
    </row>
    <row r="536" spans="2:6" x14ac:dyDescent="0.2">
      <c r="B536" s="9" t="s">
        <v>5383</v>
      </c>
      <c r="C536" s="15" t="s">
        <v>4677</v>
      </c>
      <c r="D536" s="12" t="str">
        <f>"0969-8043"</f>
        <v>0969-8043</v>
      </c>
      <c r="E536" s="5">
        <v>1.5129999999999999</v>
      </c>
      <c r="F536" s="5">
        <v>0.58799999999999997</v>
      </c>
    </row>
    <row r="537" spans="2:6" x14ac:dyDescent="0.2">
      <c r="B537" s="9" t="s">
        <v>8294</v>
      </c>
      <c r="C537" s="15" t="s">
        <v>8295</v>
      </c>
      <c r="D537" s="12" t="str">
        <f>"1871-2584"</f>
        <v>1871-2584</v>
      </c>
      <c r="E537" s="5">
        <v>3.0779999999999998</v>
      </c>
      <c r="F537" s="5">
        <v>0.82599999999999996</v>
      </c>
    </row>
    <row r="538" spans="2:6" x14ac:dyDescent="0.2">
      <c r="B538" s="9" t="s">
        <v>8296</v>
      </c>
      <c r="C538" s="15" t="s">
        <v>8297</v>
      </c>
      <c r="D538" s="12" t="str">
        <f>"2076-3417"</f>
        <v>2076-3417</v>
      </c>
      <c r="E538" s="5">
        <v>2.6789999999999998</v>
      </c>
      <c r="F538" s="5">
        <v>0.58899999999999997</v>
      </c>
    </row>
    <row r="539" spans="2:6" x14ac:dyDescent="0.2">
      <c r="B539" s="9" t="s">
        <v>1822</v>
      </c>
      <c r="C539" s="15" t="s">
        <v>1823</v>
      </c>
      <c r="D539" s="12" t="str">
        <f>"1568-4946"</f>
        <v>1568-4946</v>
      </c>
      <c r="E539" s="5">
        <v>6.7249999999999996</v>
      </c>
      <c r="F539" s="5">
        <v>0.91</v>
      </c>
    </row>
    <row r="540" spans="2:6" x14ac:dyDescent="0.2">
      <c r="B540" s="9" t="s">
        <v>5384</v>
      </c>
      <c r="C540" s="15" t="s">
        <v>4678</v>
      </c>
      <c r="D540" s="12" t="str">
        <f>"1524-1904"</f>
        <v>1524-1904</v>
      </c>
      <c r="E540" s="5">
        <v>1.3380000000000001</v>
      </c>
      <c r="F540" s="5">
        <v>0.432</v>
      </c>
    </row>
    <row r="541" spans="2:6" x14ac:dyDescent="0.2">
      <c r="B541" s="9" t="s">
        <v>5385</v>
      </c>
      <c r="C541" s="15" t="s">
        <v>4679</v>
      </c>
      <c r="D541" s="12" t="str">
        <f>"1359-4311"</f>
        <v>1359-4311</v>
      </c>
      <c r="E541" s="5">
        <v>5.2949999999999999</v>
      </c>
      <c r="F541" s="5">
        <v>0.91700000000000004</v>
      </c>
    </row>
    <row r="542" spans="2:6" x14ac:dyDescent="0.2">
      <c r="B542" s="9" t="s">
        <v>1824</v>
      </c>
      <c r="C542" s="15" t="s">
        <v>1825</v>
      </c>
      <c r="D542" s="12" t="str">
        <f>"0948-3055"</f>
        <v>0948-3055</v>
      </c>
      <c r="E542" s="5">
        <v>1.7589999999999999</v>
      </c>
      <c r="F542" s="5">
        <v>0.47699999999999998</v>
      </c>
    </row>
    <row r="543" spans="2:6" x14ac:dyDescent="0.2">
      <c r="B543" s="9" t="s">
        <v>5386</v>
      </c>
      <c r="C543" s="15" t="s">
        <v>4680</v>
      </c>
      <c r="D543" s="12" t="str">
        <f>"0166-445X"</f>
        <v>0166-445X</v>
      </c>
      <c r="E543" s="5">
        <v>4.9640000000000004</v>
      </c>
      <c r="F543" s="5">
        <v>0.96299999999999997</v>
      </c>
    </row>
    <row r="544" spans="2:6" x14ac:dyDescent="0.2">
      <c r="B544" s="9" t="s">
        <v>8298</v>
      </c>
      <c r="C544" s="15" t="s">
        <v>8299</v>
      </c>
      <c r="D544" s="12" t="str">
        <f>"1878-5352"</f>
        <v>1878-5352</v>
      </c>
      <c r="E544" s="5">
        <v>5.165</v>
      </c>
      <c r="F544" s="5">
        <v>0.70199999999999996</v>
      </c>
    </row>
    <row r="545" spans="2:6" x14ac:dyDescent="0.2">
      <c r="B545" s="9" t="s">
        <v>8300</v>
      </c>
      <c r="C545" s="15" t="s">
        <v>8301</v>
      </c>
      <c r="D545" s="12" t="str">
        <f>"1687-1979"</f>
        <v>1687-1979</v>
      </c>
      <c r="E545" s="5">
        <v>2.0760000000000001</v>
      </c>
      <c r="F545" s="5">
        <v>8.6999999999999994E-2</v>
      </c>
    </row>
    <row r="546" spans="2:6" x14ac:dyDescent="0.2">
      <c r="B546" s="9" t="s">
        <v>5387</v>
      </c>
      <c r="C546" s="15" t="s">
        <v>4681</v>
      </c>
      <c r="D546" s="12" t="str">
        <f>"2193-567X"</f>
        <v>2193-567X</v>
      </c>
      <c r="E546" s="5">
        <v>2.3340000000000001</v>
      </c>
      <c r="F546" s="5">
        <v>0.48599999999999999</v>
      </c>
    </row>
    <row r="547" spans="2:6" x14ac:dyDescent="0.2">
      <c r="B547" s="9" t="s">
        <v>1826</v>
      </c>
      <c r="C547" s="15" t="s">
        <v>1827</v>
      </c>
      <c r="D547" s="12" t="str">
        <f>"0137-5075"</f>
        <v>0137-5075</v>
      </c>
      <c r="E547" s="5">
        <v>0.91300000000000003</v>
      </c>
      <c r="F547" s="5">
        <v>0.22600000000000001</v>
      </c>
    </row>
    <row r="548" spans="2:6" x14ac:dyDescent="0.2">
      <c r="B548" s="9" t="s">
        <v>8302</v>
      </c>
      <c r="C548" s="15" t="s">
        <v>8303</v>
      </c>
      <c r="D548" s="12" t="str">
        <f>"1472-3646"</f>
        <v>1472-3646</v>
      </c>
      <c r="E548" s="5">
        <v>3.2730000000000001</v>
      </c>
      <c r="F548" s="5">
        <v>0.437</v>
      </c>
    </row>
    <row r="549" spans="2:6" x14ac:dyDescent="0.2">
      <c r="B549" s="9" t="s">
        <v>5938</v>
      </c>
      <c r="C549" s="15" t="s">
        <v>5938</v>
      </c>
      <c r="D549" s="12" t="str">
        <f>"0003-813X"</f>
        <v>0003-813X</v>
      </c>
      <c r="E549" s="5">
        <v>1.8859999999999999</v>
      </c>
      <c r="F549" s="5">
        <v>0.46700000000000003</v>
      </c>
    </row>
    <row r="550" spans="2:6" x14ac:dyDescent="0.2">
      <c r="B550" s="9" t="s">
        <v>8304</v>
      </c>
      <c r="C550" s="15" t="s">
        <v>8305</v>
      </c>
      <c r="D550" s="12" t="str">
        <f>"0325-0075"</f>
        <v>0325-0075</v>
      </c>
      <c r="E550" s="5">
        <v>0.63500000000000001</v>
      </c>
      <c r="F550" s="5">
        <v>4.7E-2</v>
      </c>
    </row>
    <row r="551" spans="2:6" x14ac:dyDescent="0.2">
      <c r="B551" s="9" t="s">
        <v>5388</v>
      </c>
      <c r="C551" s="15" t="s">
        <v>4682</v>
      </c>
      <c r="D551" s="12" t="str">
        <f>"0003-9861"</f>
        <v>0003-9861</v>
      </c>
      <c r="E551" s="5">
        <v>4.0129999999999999</v>
      </c>
      <c r="F551" s="5">
        <v>0.73199999999999998</v>
      </c>
    </row>
    <row r="552" spans="2:6" x14ac:dyDescent="0.2">
      <c r="B552" s="9" t="s">
        <v>1828</v>
      </c>
      <c r="C552" s="15" t="s">
        <v>1829</v>
      </c>
      <c r="D552" s="12" t="str">
        <f>"0354-4664"</f>
        <v>0354-4664</v>
      </c>
      <c r="E552" s="5">
        <v>0.95599999999999996</v>
      </c>
      <c r="F552" s="5">
        <v>0.183</v>
      </c>
    </row>
    <row r="553" spans="2:6" x14ac:dyDescent="0.2">
      <c r="B553" s="9" t="s">
        <v>5389</v>
      </c>
      <c r="C553" s="15" t="s">
        <v>4683</v>
      </c>
      <c r="D553" s="12" t="str">
        <f>"0300-2896"</f>
        <v>0300-2896</v>
      </c>
      <c r="E553" s="5">
        <v>4.8719999999999999</v>
      </c>
      <c r="F553" s="5">
        <v>0.73399999999999999</v>
      </c>
    </row>
    <row r="554" spans="2:6" x14ac:dyDescent="0.2">
      <c r="B554" s="9" t="s">
        <v>8306</v>
      </c>
      <c r="C554" s="15" t="s">
        <v>8307</v>
      </c>
      <c r="D554" s="12" t="str">
        <f>"1643-8698"</f>
        <v>1643-8698</v>
      </c>
      <c r="E554" s="5">
        <v>1.113</v>
      </c>
      <c r="F554" s="5">
        <v>0.10199999999999999</v>
      </c>
    </row>
    <row r="555" spans="2:6" x14ac:dyDescent="0.2">
      <c r="B555" s="9" t="s">
        <v>1830</v>
      </c>
      <c r="C555" s="15" t="s">
        <v>1831</v>
      </c>
      <c r="D555" s="12" t="str">
        <f>"1875-2136"</f>
        <v>1875-2136</v>
      </c>
      <c r="E555" s="5">
        <v>2.34</v>
      </c>
      <c r="F555" s="5">
        <v>0.36199999999999999</v>
      </c>
    </row>
    <row r="556" spans="2:6" x14ac:dyDescent="0.2">
      <c r="B556" s="9" t="s">
        <v>8308</v>
      </c>
      <c r="C556" s="15" t="s">
        <v>8309</v>
      </c>
      <c r="D556" s="12" t="str">
        <f>"1644-9665"</f>
        <v>1644-9665</v>
      </c>
      <c r="E556" s="5">
        <v>4.3689999999999998</v>
      </c>
      <c r="F556" s="5">
        <v>0.84199999999999997</v>
      </c>
    </row>
    <row r="557" spans="2:6" x14ac:dyDescent="0.2">
      <c r="B557" s="9" t="s">
        <v>5390</v>
      </c>
      <c r="C557" s="15" t="s">
        <v>4684</v>
      </c>
      <c r="D557" s="12" t="str">
        <f>"0887-6177"</f>
        <v>0887-6177</v>
      </c>
      <c r="E557" s="5">
        <v>2.8130000000000002</v>
      </c>
      <c r="F557" s="5">
        <v>0.51900000000000002</v>
      </c>
    </row>
    <row r="558" spans="2:6" x14ac:dyDescent="0.2">
      <c r="B558" s="9" t="s">
        <v>8310</v>
      </c>
      <c r="C558" s="15" t="s">
        <v>8311</v>
      </c>
      <c r="D558" s="12" t="str">
        <f>"0101-6083"</f>
        <v>0101-6083</v>
      </c>
      <c r="E558" s="5">
        <v>0.90900000000000003</v>
      </c>
      <c r="F558" s="5">
        <v>0.111</v>
      </c>
    </row>
    <row r="559" spans="2:6" x14ac:dyDescent="0.2">
      <c r="B559" s="9" t="s">
        <v>1832</v>
      </c>
      <c r="C559" s="15" t="s">
        <v>1833</v>
      </c>
      <c r="D559" s="12" t="str">
        <f>"1134-3060"</f>
        <v>1134-3060</v>
      </c>
      <c r="E559" s="5">
        <v>7.3019999999999996</v>
      </c>
      <c r="F559" s="5">
        <v>1</v>
      </c>
    </row>
    <row r="560" spans="2:6" x14ac:dyDescent="0.2">
      <c r="B560" s="9" t="s">
        <v>5391</v>
      </c>
      <c r="C560" s="15" t="s">
        <v>4685</v>
      </c>
      <c r="D560" s="12" t="str">
        <f>"0340-3696"</f>
        <v>0340-3696</v>
      </c>
      <c r="E560" s="5">
        <v>3.0169999999999999</v>
      </c>
      <c r="F560" s="5">
        <v>0.54400000000000004</v>
      </c>
    </row>
    <row r="561" spans="2:6" x14ac:dyDescent="0.2">
      <c r="B561" s="9" t="s">
        <v>5392</v>
      </c>
      <c r="C561" s="15" t="s">
        <v>4686</v>
      </c>
      <c r="D561" s="12" t="str">
        <f>"0003-9888"</f>
        <v>0003-9888</v>
      </c>
      <c r="E561" s="5">
        <v>3.7909999999999999</v>
      </c>
      <c r="F561" s="5">
        <v>0.88400000000000001</v>
      </c>
    </row>
    <row r="562" spans="2:6" x14ac:dyDescent="0.2">
      <c r="B562" s="9" t="s">
        <v>5393</v>
      </c>
      <c r="C562" s="15" t="s">
        <v>4687</v>
      </c>
      <c r="D562" s="12" t="str">
        <f>"1359-2998"</f>
        <v>1359-2998</v>
      </c>
      <c r="E562" s="5">
        <v>5.7469999999999999</v>
      </c>
      <c r="F562" s="5">
        <v>0.96099999999999997</v>
      </c>
    </row>
    <row r="563" spans="2:6" x14ac:dyDescent="0.2">
      <c r="B563" s="9" t="s">
        <v>1834</v>
      </c>
      <c r="C563" s="15" t="s">
        <v>1835</v>
      </c>
      <c r="D563" s="12" t="str">
        <f>"1743-0585"</f>
        <v>1743-0585</v>
      </c>
      <c r="E563" s="5">
        <v>1.3089999999999999</v>
      </c>
      <c r="F563" s="5">
        <v>0.155</v>
      </c>
    </row>
    <row r="564" spans="2:6" x14ac:dyDescent="0.2">
      <c r="B564" s="9" t="s">
        <v>8312</v>
      </c>
      <c r="C564" s="15" t="s">
        <v>8313</v>
      </c>
      <c r="D564" s="12" t="str">
        <f>"2359-3997"</f>
        <v>2359-3997</v>
      </c>
      <c r="E564" s="5">
        <v>2.3090000000000002</v>
      </c>
      <c r="F564" s="5">
        <v>0.152</v>
      </c>
    </row>
    <row r="565" spans="2:6" x14ac:dyDescent="0.2">
      <c r="B565" s="9" t="s">
        <v>5394</v>
      </c>
      <c r="C565" s="15" t="s">
        <v>4688</v>
      </c>
      <c r="D565" s="12" t="str">
        <f>"0090-4341"</f>
        <v>0090-4341</v>
      </c>
      <c r="E565" s="5">
        <v>2.8039999999999998</v>
      </c>
      <c r="F565" s="5">
        <v>0.436</v>
      </c>
    </row>
    <row r="566" spans="2:6" x14ac:dyDescent="0.2">
      <c r="B566" s="9" t="s">
        <v>5395</v>
      </c>
      <c r="C566" s="15" t="s">
        <v>4689</v>
      </c>
      <c r="D566" s="12" t="str">
        <f>"1933-8244"</f>
        <v>1933-8244</v>
      </c>
      <c r="E566" s="5">
        <v>1.663</v>
      </c>
      <c r="F566" s="5">
        <v>0.253</v>
      </c>
    </row>
    <row r="567" spans="2:6" x14ac:dyDescent="0.2">
      <c r="B567" s="9" t="s">
        <v>8314</v>
      </c>
      <c r="C567" s="15" t="s">
        <v>8315</v>
      </c>
      <c r="D567" s="12" t="str">
        <f>"0004-0614"</f>
        <v>0004-0614</v>
      </c>
      <c r="E567" s="5">
        <v>0.436</v>
      </c>
      <c r="F567" s="5">
        <v>2.1999999999999999E-2</v>
      </c>
    </row>
    <row r="568" spans="2:6" x14ac:dyDescent="0.2">
      <c r="B568" s="9" t="s">
        <v>5396</v>
      </c>
      <c r="C568" s="15" t="s">
        <v>4690</v>
      </c>
      <c r="D568" s="12" t="str">
        <f>"0167-4943"</f>
        <v>0167-4943</v>
      </c>
      <c r="E568" s="5">
        <v>3.25</v>
      </c>
      <c r="F568" s="5">
        <v>0.377</v>
      </c>
    </row>
    <row r="569" spans="2:6" x14ac:dyDescent="0.2">
      <c r="B569" s="9" t="s">
        <v>1836</v>
      </c>
      <c r="C569" s="15" t="s">
        <v>1837</v>
      </c>
      <c r="D569" s="12" t="str">
        <f>"0932-0067"</f>
        <v>0932-0067</v>
      </c>
      <c r="E569" s="5">
        <v>2.3439999999999999</v>
      </c>
      <c r="F569" s="5">
        <v>0.373</v>
      </c>
    </row>
    <row r="570" spans="2:6" x14ac:dyDescent="0.2">
      <c r="B570" s="9" t="s">
        <v>5397</v>
      </c>
      <c r="C570" s="15" t="s">
        <v>4691</v>
      </c>
      <c r="D570" s="12" t="str">
        <f>"0003-9519"</f>
        <v>0003-9519</v>
      </c>
      <c r="E570" s="5">
        <v>0.59399999999999997</v>
      </c>
      <c r="F570" s="5">
        <v>0.311</v>
      </c>
    </row>
    <row r="571" spans="2:6" x14ac:dyDescent="0.2">
      <c r="B571" s="9" t="s">
        <v>5398</v>
      </c>
      <c r="C571" s="15" t="s">
        <v>4692</v>
      </c>
      <c r="D571" s="12" t="str">
        <f>"1661-4917"</f>
        <v>1661-4917</v>
      </c>
      <c r="E571" s="5">
        <v>4.2910000000000004</v>
      </c>
      <c r="F571" s="5">
        <v>0.51900000000000002</v>
      </c>
    </row>
    <row r="572" spans="2:6" x14ac:dyDescent="0.2">
      <c r="B572" s="9" t="s">
        <v>5399</v>
      </c>
      <c r="C572" s="15" t="s">
        <v>4693</v>
      </c>
      <c r="D572" s="12" t="str">
        <f>"0739-4462"</f>
        <v>0739-4462</v>
      </c>
      <c r="E572" s="5">
        <v>1.698</v>
      </c>
      <c r="F572" s="5">
        <v>0.55900000000000005</v>
      </c>
    </row>
    <row r="573" spans="2:6" x14ac:dyDescent="0.2">
      <c r="B573" s="9" t="s">
        <v>1838</v>
      </c>
      <c r="C573" s="15" t="s">
        <v>1839</v>
      </c>
      <c r="D573" s="12" t="str">
        <f>"1029-2977"</f>
        <v>1029-2977</v>
      </c>
      <c r="E573" s="5">
        <v>1.3540000000000001</v>
      </c>
      <c r="F573" s="5">
        <v>0.30499999999999999</v>
      </c>
    </row>
    <row r="574" spans="2:6" x14ac:dyDescent="0.2">
      <c r="B574" s="9" t="s">
        <v>5400</v>
      </c>
      <c r="C574" s="15" t="s">
        <v>4694</v>
      </c>
      <c r="D574" s="12" t="str">
        <f>"0003-9829"</f>
        <v>0003-9829</v>
      </c>
      <c r="E574" s="5">
        <v>1</v>
      </c>
      <c r="F574" s="5">
        <v>0.04</v>
      </c>
    </row>
    <row r="575" spans="2:6" x14ac:dyDescent="0.2">
      <c r="B575" s="9" t="s">
        <v>1840</v>
      </c>
      <c r="C575" s="15" t="s">
        <v>1841</v>
      </c>
      <c r="D575" s="12" t="str">
        <f>"1775-8785"</f>
        <v>1775-8785</v>
      </c>
      <c r="E575" s="5">
        <v>0.20499999999999999</v>
      </c>
      <c r="F575" s="5">
        <v>7.0000000000000001E-3</v>
      </c>
    </row>
    <row r="576" spans="2:6" x14ac:dyDescent="0.2">
      <c r="B576" s="9" t="s">
        <v>5401</v>
      </c>
      <c r="C576" s="15" t="s">
        <v>4695</v>
      </c>
      <c r="D576" s="12" t="str">
        <f>"0188-4409"</f>
        <v>0188-4409</v>
      </c>
      <c r="E576" s="5">
        <v>2.2349999999999999</v>
      </c>
      <c r="F576" s="5">
        <v>0.22900000000000001</v>
      </c>
    </row>
    <row r="577" spans="2:6" x14ac:dyDescent="0.2">
      <c r="B577" s="9" t="s">
        <v>1842</v>
      </c>
      <c r="C577" s="15" t="s">
        <v>1843</v>
      </c>
      <c r="D577" s="12" t="str">
        <f>"1734-1922"</f>
        <v>1734-1922</v>
      </c>
      <c r="E577" s="5">
        <v>3.3180000000000001</v>
      </c>
      <c r="F577" s="5">
        <v>0.70099999999999996</v>
      </c>
    </row>
    <row r="578" spans="2:6" x14ac:dyDescent="0.2">
      <c r="B578" s="9" t="s">
        <v>5402</v>
      </c>
      <c r="C578" s="15" t="s">
        <v>4696</v>
      </c>
      <c r="D578" s="12" t="str">
        <f>"0302-8933"</f>
        <v>0302-8933</v>
      </c>
      <c r="E578" s="5">
        <v>2.552</v>
      </c>
      <c r="F578" s="5">
        <v>0.26700000000000002</v>
      </c>
    </row>
    <row r="579" spans="2:6" x14ac:dyDescent="0.2">
      <c r="B579" s="9" t="s">
        <v>8316</v>
      </c>
      <c r="C579" s="15" t="s">
        <v>8317</v>
      </c>
      <c r="D579" s="12" t="str">
        <f>"0260-9541"</f>
        <v>0260-9541</v>
      </c>
      <c r="E579" s="5">
        <v>0.158</v>
      </c>
      <c r="F579" s="5">
        <v>1.4E-2</v>
      </c>
    </row>
    <row r="580" spans="2:6" x14ac:dyDescent="0.2">
      <c r="B580" s="9" t="s">
        <v>5403</v>
      </c>
      <c r="C580" s="15" t="s">
        <v>4697</v>
      </c>
      <c r="D580" s="12" t="str">
        <f>"0003-9969"</f>
        <v>0003-9969</v>
      </c>
      <c r="E580" s="5">
        <v>2.633</v>
      </c>
      <c r="F580" s="5">
        <v>0.56000000000000005</v>
      </c>
    </row>
    <row r="581" spans="2:6" x14ac:dyDescent="0.2">
      <c r="B581" s="9" t="s">
        <v>5404</v>
      </c>
      <c r="C581" s="15" t="s">
        <v>4698</v>
      </c>
      <c r="D581" s="12" t="str">
        <f>"0936-8051"</f>
        <v>0936-8051</v>
      </c>
      <c r="E581" s="5">
        <v>3.0670000000000002</v>
      </c>
      <c r="F581" s="5">
        <v>0.70399999999999996</v>
      </c>
    </row>
    <row r="582" spans="2:6" x14ac:dyDescent="0.2">
      <c r="B582" s="9" t="s">
        <v>8318</v>
      </c>
      <c r="C582" s="15" t="s">
        <v>8319</v>
      </c>
      <c r="D582" s="12" t="str">
        <f>"1862-3522"</f>
        <v>1862-3522</v>
      </c>
      <c r="E582" s="5">
        <v>2.617</v>
      </c>
      <c r="F582" s="5">
        <v>0.55600000000000005</v>
      </c>
    </row>
    <row r="583" spans="2:6" x14ac:dyDescent="0.2">
      <c r="B583" s="9" t="s">
        <v>5405</v>
      </c>
      <c r="C583" s="15" t="s">
        <v>4699</v>
      </c>
      <c r="D583" s="12" t="str">
        <f>"0003-9985"</f>
        <v>0003-9985</v>
      </c>
      <c r="E583" s="5">
        <v>5.5339999999999998</v>
      </c>
      <c r="F583" s="5">
        <v>0.89700000000000002</v>
      </c>
    </row>
    <row r="584" spans="2:6" x14ac:dyDescent="0.2">
      <c r="B584" s="9" t="s">
        <v>5406</v>
      </c>
      <c r="C584" s="15" t="s">
        <v>4700</v>
      </c>
      <c r="D584" s="12" t="str">
        <f>"0929-693X"</f>
        <v>0929-693X</v>
      </c>
      <c r="E584" s="5">
        <v>1.18</v>
      </c>
      <c r="F584" s="5">
        <v>0.124</v>
      </c>
    </row>
    <row r="585" spans="2:6" x14ac:dyDescent="0.2">
      <c r="B585" s="9" t="s">
        <v>5407</v>
      </c>
      <c r="C585" s="15" t="s">
        <v>4701</v>
      </c>
      <c r="D585" s="12" t="str">
        <f>"0365-6233"</f>
        <v>0365-6233</v>
      </c>
      <c r="E585" s="5">
        <v>3.7509999999999999</v>
      </c>
      <c r="F585" s="5">
        <v>0.59599999999999997</v>
      </c>
    </row>
    <row r="586" spans="2:6" x14ac:dyDescent="0.2">
      <c r="B586" s="9" t="s">
        <v>5933</v>
      </c>
      <c r="C586" s="15" t="s">
        <v>4702</v>
      </c>
      <c r="D586" s="12" t="str">
        <f>"0253-6269"</f>
        <v>0253-6269</v>
      </c>
      <c r="E586" s="5">
        <v>4.9459999999999997</v>
      </c>
      <c r="F586" s="5">
        <v>0.75800000000000001</v>
      </c>
    </row>
    <row r="587" spans="2:6" x14ac:dyDescent="0.2">
      <c r="B587" s="9" t="s">
        <v>8320</v>
      </c>
      <c r="C587" s="15" t="s">
        <v>8321</v>
      </c>
      <c r="D587" s="12" t="str">
        <f>"1381-3455"</f>
        <v>1381-3455</v>
      </c>
      <c r="E587" s="5">
        <v>4.0759999999999996</v>
      </c>
      <c r="F587" s="5">
        <v>0.77800000000000002</v>
      </c>
    </row>
    <row r="588" spans="2:6" x14ac:dyDescent="0.2">
      <c r="B588" s="9" t="s">
        <v>5934</v>
      </c>
      <c r="C588" s="15" t="s">
        <v>4703</v>
      </c>
      <c r="D588" s="12" t="str">
        <f>"0003-9993"</f>
        <v>0003-9993</v>
      </c>
      <c r="E588" s="5">
        <v>3.9660000000000002</v>
      </c>
      <c r="F588" s="5">
        <v>0.95799999999999996</v>
      </c>
    </row>
    <row r="589" spans="2:6" x14ac:dyDescent="0.2">
      <c r="B589" s="9" t="s">
        <v>5935</v>
      </c>
      <c r="C589" s="15" t="s">
        <v>4704</v>
      </c>
      <c r="D589" s="12" t="str">
        <f>"0883-9417"</f>
        <v>0883-9417</v>
      </c>
      <c r="E589" s="5">
        <v>2.218</v>
      </c>
      <c r="F589" s="5">
        <v>0.65100000000000002</v>
      </c>
    </row>
    <row r="590" spans="2:6" x14ac:dyDescent="0.2">
      <c r="B590" s="9" t="s">
        <v>8322</v>
      </c>
      <c r="C590" s="15" t="s">
        <v>8323</v>
      </c>
      <c r="D590" s="12" t="str">
        <f>"0084-6724"</f>
        <v>0084-6724</v>
      </c>
      <c r="E590" s="5">
        <v>0.90300000000000002</v>
      </c>
      <c r="F590" s="5">
        <v>0.16500000000000001</v>
      </c>
    </row>
    <row r="591" spans="2:6" x14ac:dyDescent="0.2">
      <c r="B591" s="9" t="s">
        <v>8324</v>
      </c>
      <c r="C591" s="15" t="s">
        <v>8325</v>
      </c>
      <c r="D591" s="12" t="str">
        <f>"0778-7367"</f>
        <v>0778-7367</v>
      </c>
      <c r="E591" s="5">
        <v>2.589</v>
      </c>
      <c r="F591" s="5">
        <v>0.52600000000000002</v>
      </c>
    </row>
    <row r="592" spans="2:6" x14ac:dyDescent="0.2">
      <c r="B592" s="9" t="s">
        <v>8326</v>
      </c>
      <c r="C592" s="15" t="s">
        <v>8327</v>
      </c>
      <c r="D592" s="12" t="str">
        <f>"2148-5046"</f>
        <v>2148-5046</v>
      </c>
      <c r="E592" s="5">
        <v>1.472</v>
      </c>
      <c r="F592" s="5">
        <v>0.11799999999999999</v>
      </c>
    </row>
    <row r="593" spans="2:6" x14ac:dyDescent="0.2">
      <c r="B593" s="9" t="s">
        <v>1844</v>
      </c>
      <c r="C593" s="15" t="s">
        <v>1845</v>
      </c>
      <c r="D593" s="12" t="str">
        <f>"1573-2800"</f>
        <v>1573-2800</v>
      </c>
      <c r="E593" s="5">
        <v>4.5069999999999997</v>
      </c>
      <c r="F593" s="5">
        <v>0.92700000000000005</v>
      </c>
    </row>
    <row r="594" spans="2:6" x14ac:dyDescent="0.2">
      <c r="B594" s="9" t="s">
        <v>8328</v>
      </c>
      <c r="C594" s="15" t="s">
        <v>8329</v>
      </c>
      <c r="D594" s="12" t="str">
        <f>"1381-1118"</f>
        <v>1381-1118</v>
      </c>
      <c r="E594" s="5">
        <v>3.0329999999999999</v>
      </c>
      <c r="F594" s="5">
        <v>0.71899999999999997</v>
      </c>
    </row>
    <row r="595" spans="2:6" x14ac:dyDescent="0.2">
      <c r="B595" s="9" t="s">
        <v>5936</v>
      </c>
      <c r="C595" s="15" t="s">
        <v>4705</v>
      </c>
      <c r="D595" s="12" t="str">
        <f>"0340-5761"</f>
        <v>0340-5761</v>
      </c>
      <c r="E595" s="5">
        <v>5.1529999999999996</v>
      </c>
      <c r="F595" s="5">
        <v>0.83899999999999997</v>
      </c>
    </row>
    <row r="596" spans="2:6" x14ac:dyDescent="0.2">
      <c r="B596" s="9" t="s">
        <v>5937</v>
      </c>
      <c r="C596" s="15" t="s">
        <v>4706</v>
      </c>
      <c r="D596" s="12" t="str">
        <f>"0304-8608"</f>
        <v>0304-8608</v>
      </c>
      <c r="E596" s="5">
        <v>2.5739999999999998</v>
      </c>
      <c r="F596" s="5">
        <v>0.30599999999999999</v>
      </c>
    </row>
    <row r="597" spans="2:6" x14ac:dyDescent="0.2">
      <c r="B597" s="9" t="s">
        <v>1846</v>
      </c>
      <c r="C597" s="15" t="s">
        <v>1847</v>
      </c>
      <c r="D597" s="12" t="str">
        <f>"1434-1816"</f>
        <v>1434-1816</v>
      </c>
      <c r="E597" s="5">
        <v>3.633</v>
      </c>
      <c r="F597" s="5">
        <v>0.64400000000000002</v>
      </c>
    </row>
    <row r="598" spans="2:6" x14ac:dyDescent="0.2">
      <c r="B598" s="9" t="s">
        <v>8330</v>
      </c>
      <c r="C598" s="15" t="s">
        <v>8331</v>
      </c>
      <c r="D598" s="12" t="str">
        <f>"0004-1254"</f>
        <v>0004-1254</v>
      </c>
      <c r="E598" s="5">
        <v>1.948</v>
      </c>
      <c r="F598" s="5">
        <v>0.32800000000000001</v>
      </c>
    </row>
    <row r="599" spans="2:6" x14ac:dyDescent="0.2">
      <c r="B599" s="9" t="s">
        <v>5939</v>
      </c>
      <c r="C599" s="15" t="s">
        <v>5939</v>
      </c>
      <c r="D599" s="12" t="str">
        <f>"1551-7012"</f>
        <v>1551-7012</v>
      </c>
      <c r="E599" s="5">
        <v>1.1399999999999999</v>
      </c>
      <c r="F599" s="5">
        <v>0.246</v>
      </c>
    </row>
    <row r="600" spans="2:6" x14ac:dyDescent="0.2">
      <c r="B600" s="9" t="s">
        <v>1848</v>
      </c>
      <c r="C600" s="15" t="s">
        <v>1849</v>
      </c>
      <c r="D600" s="12" t="str">
        <f>"0066-782X"</f>
        <v>0066-782X</v>
      </c>
      <c r="E600" s="5">
        <v>2</v>
      </c>
      <c r="F600" s="5">
        <v>0.23400000000000001</v>
      </c>
    </row>
    <row r="601" spans="2:6" x14ac:dyDescent="0.2">
      <c r="B601" s="9" t="s">
        <v>5940</v>
      </c>
      <c r="C601" s="15" t="s">
        <v>4707</v>
      </c>
      <c r="D601" s="12" t="str">
        <f>"0102-0935"</f>
        <v>0102-0935</v>
      </c>
      <c r="E601" s="5">
        <v>0.442</v>
      </c>
      <c r="F601" s="5">
        <v>0.123</v>
      </c>
    </row>
    <row r="602" spans="2:6" x14ac:dyDescent="0.2">
      <c r="B602" s="9" t="s">
        <v>8332</v>
      </c>
      <c r="C602" s="15" t="s">
        <v>8333</v>
      </c>
      <c r="D602" s="12" t="str">
        <f>"0004-2749"</f>
        <v>0004-2749</v>
      </c>
      <c r="E602" s="5">
        <v>0.872</v>
      </c>
      <c r="F602" s="5">
        <v>4.8000000000000001E-2</v>
      </c>
    </row>
    <row r="603" spans="2:6" x14ac:dyDescent="0.2">
      <c r="B603" s="9" t="s">
        <v>5941</v>
      </c>
      <c r="C603" s="15" t="s">
        <v>4708</v>
      </c>
      <c r="D603" s="12" t="str">
        <f>"0004-282X"</f>
        <v>0004-282X</v>
      </c>
      <c r="E603" s="5">
        <v>1.42</v>
      </c>
      <c r="F603" s="5">
        <v>0.19</v>
      </c>
    </row>
    <row r="604" spans="2:6" x14ac:dyDescent="0.2">
      <c r="B604" s="9" t="s">
        <v>5942</v>
      </c>
      <c r="C604" s="15" t="s">
        <v>4709</v>
      </c>
      <c r="D604" s="12" t="str">
        <f>"1079-5642"</f>
        <v>1079-5642</v>
      </c>
      <c r="E604" s="5">
        <v>8.3109999999999999</v>
      </c>
      <c r="F604" s="5">
        <v>0.93799999999999994</v>
      </c>
    </row>
    <row r="605" spans="2:6" x14ac:dyDescent="0.2">
      <c r="B605" s="9" t="s">
        <v>8334</v>
      </c>
      <c r="C605" s="15" t="s">
        <v>8335</v>
      </c>
      <c r="D605" s="12" t="str">
        <f>"1876-4401"</f>
        <v>1876-4401</v>
      </c>
      <c r="E605" s="5">
        <v>0.59699999999999998</v>
      </c>
      <c r="F605" s="5">
        <v>1.4999999999999999E-2</v>
      </c>
    </row>
    <row r="606" spans="2:6" x14ac:dyDescent="0.2">
      <c r="B606" s="9" t="s">
        <v>8336</v>
      </c>
      <c r="C606" s="15" t="s">
        <v>8337</v>
      </c>
      <c r="D606" s="12" t="str">
        <f>"0893-7524"</f>
        <v>0893-7524</v>
      </c>
      <c r="E606" s="5">
        <v>4.7939999999999996</v>
      </c>
      <c r="F606" s="5">
        <v>0.64700000000000002</v>
      </c>
    </row>
    <row r="607" spans="2:6" x14ac:dyDescent="0.2">
      <c r="B607" s="9" t="s">
        <v>5943</v>
      </c>
      <c r="C607" s="15" t="s">
        <v>4710</v>
      </c>
      <c r="D607" s="12" t="str">
        <f>"1478-6354"</f>
        <v>1478-6354</v>
      </c>
      <c r="E607" s="5">
        <v>5.1559999999999997</v>
      </c>
      <c r="F607" s="5">
        <v>0.76500000000000001</v>
      </c>
    </row>
    <row r="608" spans="2:6" x14ac:dyDescent="0.2">
      <c r="B608" s="9" t="s">
        <v>8338</v>
      </c>
      <c r="C608" s="15" t="s">
        <v>8339</v>
      </c>
      <c r="D608" s="12" t="str">
        <f>"2326-5191"</f>
        <v>2326-5191</v>
      </c>
      <c r="E608" s="5">
        <v>10.994999999999999</v>
      </c>
      <c r="F608" s="5">
        <v>0.94099999999999995</v>
      </c>
    </row>
    <row r="609" spans="2:6" x14ac:dyDescent="0.2">
      <c r="B609" s="9" t="s">
        <v>5944</v>
      </c>
      <c r="C609" s="15" t="s">
        <v>4711</v>
      </c>
      <c r="D609" s="12" t="str">
        <f>"0749-8063"</f>
        <v>0749-8063</v>
      </c>
      <c r="E609" s="5">
        <v>4.7720000000000002</v>
      </c>
      <c r="F609" s="5">
        <v>0.91400000000000003</v>
      </c>
    </row>
    <row r="610" spans="2:6" x14ac:dyDescent="0.2">
      <c r="B610" s="9" t="s">
        <v>8340</v>
      </c>
      <c r="C610" s="15" t="s">
        <v>8341</v>
      </c>
      <c r="D610" s="12" t="str">
        <f>"2169-1401"</f>
        <v>2169-1401</v>
      </c>
      <c r="E610" s="5">
        <v>5.6779999999999999</v>
      </c>
      <c r="F610" s="5">
        <v>0.84799999999999998</v>
      </c>
    </row>
    <row r="611" spans="2:6" x14ac:dyDescent="0.2">
      <c r="B611" s="9" t="s">
        <v>8342</v>
      </c>
      <c r="C611" s="15" t="s">
        <v>8343</v>
      </c>
      <c r="D611" s="12" t="str">
        <f>"0924-8463"</f>
        <v>0924-8463</v>
      </c>
      <c r="E611" s="5">
        <v>2.6669999999999998</v>
      </c>
      <c r="F611" s="5">
        <v>0.86799999999999999</v>
      </c>
    </row>
    <row r="612" spans="2:6" x14ac:dyDescent="0.2">
      <c r="B612" s="9" t="s">
        <v>5945</v>
      </c>
      <c r="C612" s="15" t="s">
        <v>4712</v>
      </c>
      <c r="D612" s="12" t="str">
        <f>"0933-3657"</f>
        <v>0933-3657</v>
      </c>
      <c r="E612" s="5">
        <v>5.3259999999999996</v>
      </c>
      <c r="F612" s="5">
        <v>0.8</v>
      </c>
    </row>
    <row r="613" spans="2:6" x14ac:dyDescent="0.2">
      <c r="B613" s="9" t="s">
        <v>5946</v>
      </c>
      <c r="C613" s="15" t="s">
        <v>4713</v>
      </c>
      <c r="D613" s="12" t="str">
        <f>"0160-564X"</f>
        <v>0160-564X</v>
      </c>
      <c r="E613" s="5">
        <v>3.0939999999999999</v>
      </c>
      <c r="F613" s="5">
        <v>0.52</v>
      </c>
    </row>
    <row r="614" spans="2:6" x14ac:dyDescent="0.2">
      <c r="B614" s="9" t="s">
        <v>1850</v>
      </c>
      <c r="C614" s="15" t="s">
        <v>1851</v>
      </c>
      <c r="D614" s="12" t="str">
        <f>"0197-4556"</f>
        <v>0197-4556</v>
      </c>
      <c r="E614" s="5">
        <v>1.4039999999999999</v>
      </c>
      <c r="F614" s="5">
        <v>0.2</v>
      </c>
    </row>
    <row r="615" spans="2:6" x14ac:dyDescent="0.2">
      <c r="B615" s="9" t="s">
        <v>8344</v>
      </c>
      <c r="C615" s="15" t="s">
        <v>8345</v>
      </c>
      <c r="D615" s="12" t="str">
        <f>"1753-3015"</f>
        <v>1753-3015</v>
      </c>
      <c r="E615" s="5">
        <v>1.85</v>
      </c>
      <c r="F615" s="5">
        <v>0.3</v>
      </c>
    </row>
    <row r="616" spans="2:6" x14ac:dyDescent="0.2">
      <c r="B616" s="9" t="s">
        <v>5947</v>
      </c>
      <c r="C616" s="15" t="s">
        <v>4714</v>
      </c>
      <c r="D616" s="12" t="str">
        <f>"1058-2916"</f>
        <v>1058-2916</v>
      </c>
      <c r="E616" s="5">
        <v>2.8719999999999999</v>
      </c>
      <c r="F616" s="5">
        <v>0.48</v>
      </c>
    </row>
    <row r="617" spans="2:6" x14ac:dyDescent="0.2">
      <c r="B617" s="9" t="s">
        <v>5948</v>
      </c>
      <c r="C617" s="15" t="s">
        <v>4715</v>
      </c>
      <c r="D617" s="12" t="str">
        <f>"0001-2491"</f>
        <v>0001-2491</v>
      </c>
      <c r="E617" s="5">
        <v>0.41799999999999998</v>
      </c>
      <c r="F617" s="5">
        <v>6.0999999999999999E-2</v>
      </c>
    </row>
    <row r="618" spans="2:6" x14ac:dyDescent="0.2">
      <c r="B618" s="9" t="s">
        <v>8346</v>
      </c>
      <c r="C618" s="15" t="s">
        <v>8347</v>
      </c>
      <c r="D618" s="12" t="str">
        <f>"1948-1985"</f>
        <v>1948-1985</v>
      </c>
      <c r="E618" s="5">
        <v>1.5469999999999999</v>
      </c>
      <c r="F618" s="5">
        <v>0.4</v>
      </c>
    </row>
    <row r="619" spans="2:6" x14ac:dyDescent="0.2">
      <c r="B619" s="9" t="s">
        <v>1856</v>
      </c>
      <c r="C619" s="15" t="s">
        <v>1857</v>
      </c>
      <c r="D619" s="12" t="str">
        <f>"1905-7415"</f>
        <v>1905-7415</v>
      </c>
      <c r="E619" s="5">
        <v>0.26700000000000002</v>
      </c>
      <c r="F619" s="5">
        <v>7.0000000000000001E-3</v>
      </c>
    </row>
    <row r="620" spans="2:6" x14ac:dyDescent="0.2">
      <c r="B620" s="9" t="s">
        <v>5950</v>
      </c>
      <c r="C620" s="15" t="s">
        <v>4717</v>
      </c>
      <c r="D620" s="12" t="str">
        <f>"1008-682X"</f>
        <v>1008-682X</v>
      </c>
      <c r="E620" s="5">
        <v>3.2850000000000001</v>
      </c>
      <c r="F620" s="5">
        <v>0.75</v>
      </c>
    </row>
    <row r="621" spans="2:6" x14ac:dyDescent="0.2">
      <c r="B621" s="9" t="s">
        <v>8348</v>
      </c>
      <c r="C621" s="15" t="s">
        <v>8349</v>
      </c>
      <c r="D621" s="12" t="str">
        <f>"2193-5807"</f>
        <v>2193-5807</v>
      </c>
      <c r="E621" s="5">
        <v>3.319</v>
      </c>
      <c r="F621" s="5">
        <v>0.68400000000000005</v>
      </c>
    </row>
    <row r="622" spans="2:6" x14ac:dyDescent="0.2">
      <c r="B622" s="9" t="s">
        <v>8350</v>
      </c>
      <c r="C622" s="15" t="s">
        <v>8351</v>
      </c>
      <c r="D622" s="12" t="str">
        <f>"1818-0876"</f>
        <v>1818-0876</v>
      </c>
      <c r="E622" s="5">
        <v>6.5979999999999999</v>
      </c>
      <c r="F622" s="5">
        <v>0.91600000000000004</v>
      </c>
    </row>
    <row r="623" spans="2:6" x14ac:dyDescent="0.2">
      <c r="B623" s="9" t="s">
        <v>8352</v>
      </c>
      <c r="C623" s="15" t="s">
        <v>8353</v>
      </c>
      <c r="D623" s="12" t="str">
        <f>"1876-2018"</f>
        <v>1876-2018</v>
      </c>
      <c r="E623" s="5">
        <v>3.5430000000000001</v>
      </c>
      <c r="F623" s="5">
        <v>0.63</v>
      </c>
    </row>
    <row r="624" spans="2:6" x14ac:dyDescent="0.2">
      <c r="B624" s="9" t="s">
        <v>1858</v>
      </c>
      <c r="C624" s="15" t="s">
        <v>1859</v>
      </c>
      <c r="D624" s="12" t="str">
        <f>"1367-2223"</f>
        <v>1367-2223</v>
      </c>
      <c r="E624" s="5">
        <v>1.4239999999999999</v>
      </c>
      <c r="F624" s="5">
        <v>0.17199999999999999</v>
      </c>
    </row>
    <row r="625" spans="2:6" x14ac:dyDescent="0.2">
      <c r="B625" s="9" t="s">
        <v>8354</v>
      </c>
      <c r="C625" s="15" t="s">
        <v>8355</v>
      </c>
      <c r="D625" s="12" t="str">
        <f>"1568-4849"</f>
        <v>1568-4849</v>
      </c>
      <c r="E625" s="5">
        <v>0.66</v>
      </c>
      <c r="F625" s="5">
        <v>0.25</v>
      </c>
    </row>
    <row r="626" spans="2:6" x14ac:dyDescent="0.2">
      <c r="B626" s="9" t="s">
        <v>1860</v>
      </c>
      <c r="C626" s="15" t="s">
        <v>1861</v>
      </c>
      <c r="D626" s="12" t="str">
        <f>"1015-9584"</f>
        <v>1015-9584</v>
      </c>
      <c r="E626" s="5">
        <v>2.7669999999999999</v>
      </c>
      <c r="F626" s="5">
        <v>0.6</v>
      </c>
    </row>
    <row r="627" spans="2:6" x14ac:dyDescent="0.2">
      <c r="B627" s="9" t="s">
        <v>1862</v>
      </c>
      <c r="C627" s="15" t="s">
        <v>1863</v>
      </c>
      <c r="D627" s="12" t="str">
        <f>"1225-9276"</f>
        <v>1225-9276</v>
      </c>
      <c r="E627" s="5">
        <v>0.42899999999999999</v>
      </c>
      <c r="F627" s="5">
        <v>0.159</v>
      </c>
    </row>
    <row r="628" spans="2:6" x14ac:dyDescent="0.2">
      <c r="B628" s="9" t="s">
        <v>8356</v>
      </c>
      <c r="C628" s="15" t="s">
        <v>8357</v>
      </c>
      <c r="D628" s="12" t="str">
        <f>"1819-5164"</f>
        <v>1819-5164</v>
      </c>
      <c r="E628" s="5">
        <v>0.61099999999999999</v>
      </c>
      <c r="F628" s="5">
        <v>0.152</v>
      </c>
    </row>
    <row r="629" spans="2:6" x14ac:dyDescent="0.2">
      <c r="B629" s="9" t="s">
        <v>8358</v>
      </c>
      <c r="C629" s="15" t="s">
        <v>8359</v>
      </c>
      <c r="D629" s="12" t="str">
        <f>"1976-1317"</f>
        <v>1976-1317</v>
      </c>
      <c r="E629" s="5">
        <v>2.085</v>
      </c>
      <c r="F629" s="5">
        <v>0.58699999999999997</v>
      </c>
    </row>
    <row r="630" spans="2:6" x14ac:dyDescent="0.2">
      <c r="B630" s="9" t="s">
        <v>5951</v>
      </c>
      <c r="C630" s="15" t="s">
        <v>4718</v>
      </c>
      <c r="D630" s="12" t="str">
        <f>"0125-877X"</f>
        <v>0125-877X</v>
      </c>
      <c r="E630" s="5">
        <v>2.31</v>
      </c>
      <c r="F630" s="5">
        <v>0.25</v>
      </c>
    </row>
    <row r="631" spans="2:6" x14ac:dyDescent="0.2">
      <c r="B631" s="9" t="s">
        <v>8360</v>
      </c>
      <c r="C631" s="15" t="s">
        <v>8361</v>
      </c>
      <c r="D631" s="12" t="str">
        <f>"2221-1691"</f>
        <v>2221-1691</v>
      </c>
      <c r="E631" s="5">
        <v>1.5449999999999999</v>
      </c>
      <c r="F631" s="5">
        <v>0.34799999999999998</v>
      </c>
    </row>
    <row r="632" spans="2:6" x14ac:dyDescent="0.2">
      <c r="B632" s="9" t="s">
        <v>8362</v>
      </c>
      <c r="C632" s="15" t="s">
        <v>8363</v>
      </c>
      <c r="D632" s="12" t="str">
        <f>"1995-7645"</f>
        <v>1995-7645</v>
      </c>
      <c r="E632" s="5">
        <v>1.226</v>
      </c>
      <c r="F632" s="5">
        <v>0.30399999999999999</v>
      </c>
    </row>
    <row r="633" spans="2:6" x14ac:dyDescent="0.2">
      <c r="B633" s="9" t="s">
        <v>8364</v>
      </c>
      <c r="C633" s="15" t="s">
        <v>8365</v>
      </c>
      <c r="D633" s="12" t="str">
        <f>"0117-1968"</f>
        <v>0117-1968</v>
      </c>
      <c r="E633" s="5">
        <v>1.333</v>
      </c>
      <c r="F633" s="5">
        <v>0.24099999999999999</v>
      </c>
    </row>
    <row r="634" spans="2:6" x14ac:dyDescent="0.2">
      <c r="B634" s="9" t="s">
        <v>8366</v>
      </c>
      <c r="C634" s="15" t="s">
        <v>8367</v>
      </c>
      <c r="D634" s="12" t="str">
        <f>"1744-1730"</f>
        <v>1744-1730</v>
      </c>
      <c r="E634" s="5">
        <v>2.3239999999999998</v>
      </c>
      <c r="F634" s="5">
        <v>0.51700000000000002</v>
      </c>
    </row>
    <row r="635" spans="2:6" x14ac:dyDescent="0.2">
      <c r="B635" s="9" t="s">
        <v>8368</v>
      </c>
      <c r="C635" s="15" t="s">
        <v>8369</v>
      </c>
      <c r="D635" s="12" t="str">
        <f>"1225-925X"</f>
        <v>1225-925X</v>
      </c>
      <c r="E635" s="5">
        <v>0.40500000000000003</v>
      </c>
      <c r="F635" s="5">
        <v>0.114</v>
      </c>
    </row>
    <row r="636" spans="2:6" x14ac:dyDescent="0.2">
      <c r="B636" s="9" t="s">
        <v>5949</v>
      </c>
      <c r="C636" s="15" t="s">
        <v>4716</v>
      </c>
      <c r="D636" s="12" t="str">
        <f>"0964-7058"</f>
        <v>0964-7058</v>
      </c>
      <c r="E636" s="5">
        <v>1.6619999999999999</v>
      </c>
      <c r="F636" s="5">
        <v>0.159</v>
      </c>
    </row>
    <row r="637" spans="2:6" x14ac:dyDescent="0.2">
      <c r="B637" s="9" t="s">
        <v>1852</v>
      </c>
      <c r="C637" s="15" t="s">
        <v>1853</v>
      </c>
      <c r="D637" s="12" t="str">
        <f>"1743-7555"</f>
        <v>1743-7555</v>
      </c>
      <c r="E637" s="5">
        <v>2.601</v>
      </c>
      <c r="F637" s="5">
        <v>0.17799999999999999</v>
      </c>
    </row>
    <row r="638" spans="2:6" x14ac:dyDescent="0.2">
      <c r="B638" s="9" t="s">
        <v>8370</v>
      </c>
      <c r="C638" s="15" t="s">
        <v>8371</v>
      </c>
      <c r="D638" s="12" t="str">
        <f>"2347-5625"</f>
        <v>2347-5625</v>
      </c>
      <c r="E638" s="5">
        <v>2.5089999999999999</v>
      </c>
      <c r="F638" s="5">
        <v>0.81</v>
      </c>
    </row>
    <row r="639" spans="2:6" x14ac:dyDescent="0.2">
      <c r="B639" s="9" t="s">
        <v>8372</v>
      </c>
      <c r="C639" s="15" t="s">
        <v>8373</v>
      </c>
      <c r="D639" s="12" t="str">
        <f>"2162-0989"</f>
        <v>2162-0989</v>
      </c>
      <c r="E639" s="5">
        <v>2.827</v>
      </c>
      <c r="F639" s="5">
        <v>0.54800000000000004</v>
      </c>
    </row>
    <row r="640" spans="2:6" x14ac:dyDescent="0.2">
      <c r="B640" s="9" t="s">
        <v>1854</v>
      </c>
      <c r="C640" s="15" t="s">
        <v>1855</v>
      </c>
      <c r="D640" s="12" t="str">
        <f>"1010-5395"</f>
        <v>1010-5395</v>
      </c>
      <c r="E640" s="5">
        <v>1.399</v>
      </c>
      <c r="F640" s="5">
        <v>0.16400000000000001</v>
      </c>
    </row>
    <row r="641" spans="2:6" x14ac:dyDescent="0.2">
      <c r="B641" s="9" t="s">
        <v>8374</v>
      </c>
      <c r="C641" s="15" t="s">
        <v>8375</v>
      </c>
      <c r="D641" s="12" t="str">
        <f>"1758-5864"</f>
        <v>1758-5864</v>
      </c>
      <c r="E641" s="5">
        <v>2.5379999999999998</v>
      </c>
      <c r="F641" s="5">
        <v>0.39400000000000002</v>
      </c>
    </row>
    <row r="642" spans="2:6" x14ac:dyDescent="0.2">
      <c r="B642" s="9" t="s">
        <v>8376</v>
      </c>
      <c r="C642" s="15" t="s">
        <v>8377</v>
      </c>
      <c r="D642" s="12" t="str">
        <f>"2050-3806"</f>
        <v>2050-3806</v>
      </c>
      <c r="E642" s="5">
        <v>1.903</v>
      </c>
      <c r="F642" s="5">
        <v>0.44700000000000001</v>
      </c>
    </row>
    <row r="643" spans="2:6" x14ac:dyDescent="0.2">
      <c r="B643" s="9" t="s">
        <v>8378</v>
      </c>
      <c r="C643" s="15" t="s">
        <v>8379</v>
      </c>
      <c r="D643" s="12" t="str">
        <f>"1759-0914"</f>
        <v>1759-0914</v>
      </c>
      <c r="E643" s="5">
        <v>4.1459999999999999</v>
      </c>
      <c r="F643" s="5">
        <v>0.60799999999999998</v>
      </c>
    </row>
    <row r="644" spans="2:6" x14ac:dyDescent="0.2">
      <c r="B644" s="9" t="s">
        <v>5952</v>
      </c>
      <c r="C644" s="15" t="s">
        <v>4719</v>
      </c>
      <c r="D644" s="12" t="str">
        <f>"1540-658X"</f>
        <v>1540-658X</v>
      </c>
      <c r="E644" s="5">
        <v>1.738</v>
      </c>
      <c r="F644" s="5">
        <v>0.14899999999999999</v>
      </c>
    </row>
    <row r="645" spans="2:6" x14ac:dyDescent="0.2">
      <c r="B645" s="9" t="s">
        <v>1864</v>
      </c>
      <c r="C645" s="15" t="s">
        <v>1864</v>
      </c>
      <c r="D645" s="12" t="str">
        <f>"1073-1911"</f>
        <v>1073-1911</v>
      </c>
      <c r="E645" s="5">
        <v>4.6669999999999998</v>
      </c>
      <c r="F645" s="5">
        <v>0.83099999999999996</v>
      </c>
    </row>
    <row r="646" spans="2:6" x14ac:dyDescent="0.2">
      <c r="B646" s="9" t="s">
        <v>1865</v>
      </c>
      <c r="C646" s="15" t="s">
        <v>1866</v>
      </c>
      <c r="D646" s="12" t="str">
        <f>"1592-5986"</f>
        <v>1592-5986</v>
      </c>
      <c r="E646" s="5">
        <v>0.80400000000000005</v>
      </c>
      <c r="F646" s="5">
        <v>7.0999999999999994E-2</v>
      </c>
    </row>
    <row r="647" spans="2:6" x14ac:dyDescent="0.2">
      <c r="B647" s="9" t="s">
        <v>1867</v>
      </c>
      <c r="C647" s="15" t="s">
        <v>1868</v>
      </c>
      <c r="D647" s="12" t="str">
        <f>"1040-0435"</f>
        <v>1040-0435</v>
      </c>
      <c r="E647" s="5">
        <v>2.431</v>
      </c>
      <c r="F647" s="5">
        <v>0.622</v>
      </c>
    </row>
    <row r="648" spans="2:6" x14ac:dyDescent="0.2">
      <c r="B648" s="9" t="s">
        <v>1869</v>
      </c>
      <c r="C648" s="15" t="s">
        <v>1870</v>
      </c>
      <c r="D648" s="12" t="str">
        <f>"1863-8171"</f>
        <v>1863-8171</v>
      </c>
      <c r="E648" s="5">
        <v>1.1599999999999999</v>
      </c>
      <c r="F648" s="5">
        <v>0.36</v>
      </c>
    </row>
    <row r="649" spans="2:6" x14ac:dyDescent="0.2">
      <c r="B649" s="9" t="s">
        <v>1871</v>
      </c>
      <c r="C649" s="15" t="s">
        <v>1872</v>
      </c>
      <c r="D649" s="12" t="str">
        <f>"0515-0361"</f>
        <v>0515-0361</v>
      </c>
      <c r="E649" s="5">
        <v>1.4790000000000001</v>
      </c>
      <c r="F649" s="5">
        <v>0.51200000000000001</v>
      </c>
    </row>
    <row r="650" spans="2:6" x14ac:dyDescent="0.2">
      <c r="B650" s="9" t="s">
        <v>5953</v>
      </c>
      <c r="C650" s="15" t="s">
        <v>5953</v>
      </c>
      <c r="D650" s="12" t="str">
        <f>"1531-1074"</f>
        <v>1531-1074</v>
      </c>
      <c r="E650" s="5">
        <v>4.335</v>
      </c>
      <c r="F650" s="5">
        <v>0.81899999999999995</v>
      </c>
    </row>
    <row r="651" spans="2:6" x14ac:dyDescent="0.2">
      <c r="B651" s="9" t="s">
        <v>8380</v>
      </c>
      <c r="C651" s="15" t="s">
        <v>8381</v>
      </c>
      <c r="D651" s="12" t="str">
        <f>"2213-1337"</f>
        <v>2213-1337</v>
      </c>
      <c r="E651" s="5">
        <v>1.927</v>
      </c>
      <c r="F651" s="5">
        <v>0.41199999999999998</v>
      </c>
    </row>
    <row r="652" spans="2:6" x14ac:dyDescent="0.2">
      <c r="B652" s="9" t="s">
        <v>1873</v>
      </c>
      <c r="C652" s="15" t="s">
        <v>1874</v>
      </c>
      <c r="D652" s="12" t="str">
        <f>"0212-6567"</f>
        <v>0212-6567</v>
      </c>
      <c r="E652" s="5">
        <v>1.137</v>
      </c>
      <c r="F652" s="5">
        <v>0.22800000000000001</v>
      </c>
    </row>
    <row r="653" spans="2:6" x14ac:dyDescent="0.2">
      <c r="B653" s="9" t="s">
        <v>5954</v>
      </c>
      <c r="C653" s="15" t="s">
        <v>5954</v>
      </c>
      <c r="D653" s="12" t="str">
        <f>"0021-9150"</f>
        <v>0021-9150</v>
      </c>
      <c r="E653" s="5">
        <v>5.1619999999999999</v>
      </c>
      <c r="F653" s="5">
        <v>0.8</v>
      </c>
    </row>
    <row r="654" spans="2:6" x14ac:dyDescent="0.2">
      <c r="B654" s="9" t="s">
        <v>8382</v>
      </c>
      <c r="C654" s="15" t="s">
        <v>8383</v>
      </c>
      <c r="D654" s="12" t="str">
        <f>"1567-5688"</f>
        <v>1567-5688</v>
      </c>
      <c r="E654" s="5">
        <v>3.2349999999999999</v>
      </c>
      <c r="F654" s="5">
        <v>0.52300000000000002</v>
      </c>
    </row>
    <row r="655" spans="2:6" x14ac:dyDescent="0.2">
      <c r="B655" s="9" t="s">
        <v>5955</v>
      </c>
      <c r="C655" s="15" t="s">
        <v>4720</v>
      </c>
      <c r="D655" s="12" t="str">
        <f>"0261-1929"</f>
        <v>0261-1929</v>
      </c>
      <c r="E655" s="5">
        <v>1.3029999999999999</v>
      </c>
      <c r="F655" s="5">
        <v>0.114</v>
      </c>
    </row>
    <row r="656" spans="2:6" x14ac:dyDescent="0.2">
      <c r="B656" s="9" t="s">
        <v>5956</v>
      </c>
      <c r="C656" s="15" t="s">
        <v>4721</v>
      </c>
      <c r="D656" s="12" t="str">
        <f>"1044-5110"</f>
        <v>1044-5110</v>
      </c>
      <c r="E656" s="5">
        <v>0.81899999999999995</v>
      </c>
      <c r="F656" s="5">
        <v>0.14699999999999999</v>
      </c>
    </row>
    <row r="657" spans="2:6" x14ac:dyDescent="0.2">
      <c r="B657" s="9" t="s">
        <v>1875</v>
      </c>
      <c r="C657" s="15" t="s">
        <v>1876</v>
      </c>
      <c r="D657" s="12" t="str">
        <f>"1461-6734"</f>
        <v>1461-6734</v>
      </c>
      <c r="E657" s="5">
        <v>3.8330000000000002</v>
      </c>
      <c r="F657" s="5">
        <v>0.753</v>
      </c>
    </row>
    <row r="658" spans="2:6" x14ac:dyDescent="0.2">
      <c r="B658" s="9" t="s">
        <v>8384</v>
      </c>
      <c r="C658" s="15" t="s">
        <v>8385</v>
      </c>
      <c r="D658" s="12" t="str">
        <f>"1943-3921"</f>
        <v>1943-3921</v>
      </c>
      <c r="E658" s="5">
        <v>2.1989999999999998</v>
      </c>
      <c r="F658" s="5">
        <v>0.4</v>
      </c>
    </row>
    <row r="659" spans="2:6" x14ac:dyDescent="0.2">
      <c r="B659" s="9" t="s">
        <v>5957</v>
      </c>
      <c r="C659" s="15" t="s">
        <v>4722</v>
      </c>
      <c r="D659" s="12" t="str">
        <f>"1420-3030"</f>
        <v>1420-3030</v>
      </c>
      <c r="E659" s="5">
        <v>1.8540000000000001</v>
      </c>
      <c r="F659" s="5">
        <v>0.40899999999999997</v>
      </c>
    </row>
    <row r="660" spans="2:6" x14ac:dyDescent="0.2">
      <c r="B660" s="9" t="s">
        <v>8386</v>
      </c>
      <c r="C660" s="15" t="s">
        <v>8387</v>
      </c>
      <c r="D660" s="12" t="str">
        <f>"0743-4618"</f>
        <v>0743-4618</v>
      </c>
      <c r="E660" s="5">
        <v>2.214</v>
      </c>
      <c r="F660" s="5">
        <v>0.51900000000000002</v>
      </c>
    </row>
    <row r="661" spans="2:6" x14ac:dyDescent="0.2">
      <c r="B661" s="9" t="s">
        <v>5958</v>
      </c>
      <c r="C661" s="15" t="s">
        <v>5958</v>
      </c>
      <c r="D661" s="12" t="str">
        <f>"1879-1476"</f>
        <v>1879-1476</v>
      </c>
      <c r="E661" s="5">
        <v>1.863</v>
      </c>
      <c r="F661" s="5">
        <v>0.432</v>
      </c>
    </row>
    <row r="662" spans="2:6" x14ac:dyDescent="0.2">
      <c r="B662" s="9" t="s">
        <v>8388</v>
      </c>
      <c r="C662" s="15" t="s">
        <v>8389</v>
      </c>
      <c r="D662" s="12" t="str">
        <f>"1036-7314"</f>
        <v>1036-7314</v>
      </c>
      <c r="E662" s="5">
        <v>2.7370000000000001</v>
      </c>
      <c r="F662" s="5">
        <v>0.84899999999999998</v>
      </c>
    </row>
    <row r="663" spans="2:6" x14ac:dyDescent="0.2">
      <c r="B663" s="9" t="s">
        <v>5959</v>
      </c>
      <c r="C663" s="15" t="s">
        <v>4723</v>
      </c>
      <c r="D663" s="12" t="str">
        <f>"0045-0421"</f>
        <v>0045-0421</v>
      </c>
      <c r="E663" s="5">
        <v>2.2909999999999999</v>
      </c>
      <c r="F663" s="5">
        <v>0.41799999999999998</v>
      </c>
    </row>
    <row r="664" spans="2:6" x14ac:dyDescent="0.2">
      <c r="B664" s="9" t="s">
        <v>8390</v>
      </c>
      <c r="C664" s="15" t="s">
        <v>8391</v>
      </c>
      <c r="D664" s="12" t="str">
        <f>"1747-4477"</f>
        <v>1747-4477</v>
      </c>
      <c r="E664" s="5">
        <v>1.659</v>
      </c>
      <c r="F664" s="5">
        <v>0.16500000000000001</v>
      </c>
    </row>
    <row r="665" spans="2:6" x14ac:dyDescent="0.2">
      <c r="B665" s="9" t="s">
        <v>1877</v>
      </c>
      <c r="C665" s="15" t="s">
        <v>1878</v>
      </c>
      <c r="D665" s="12" t="str">
        <f>"0816-4649"</f>
        <v>0816-4649</v>
      </c>
      <c r="E665" s="5">
        <v>0.90200000000000002</v>
      </c>
      <c r="F665" s="5">
        <v>0.27300000000000002</v>
      </c>
    </row>
    <row r="666" spans="2:6" x14ac:dyDescent="0.2">
      <c r="B666" s="9" t="s">
        <v>1879</v>
      </c>
      <c r="C666" s="15" t="s">
        <v>1880</v>
      </c>
      <c r="D666" s="12" t="str">
        <f>"0156-5788"</f>
        <v>0156-5788</v>
      </c>
      <c r="E666" s="5">
        <v>1.99</v>
      </c>
      <c r="F666" s="5">
        <v>0.27300000000000002</v>
      </c>
    </row>
    <row r="667" spans="2:6" x14ac:dyDescent="0.2">
      <c r="B667" s="9" t="s">
        <v>1881</v>
      </c>
      <c r="C667" s="15" t="s">
        <v>1882</v>
      </c>
      <c r="D667" s="12" t="str">
        <f>"0813-0531"</f>
        <v>0813-0531</v>
      </c>
      <c r="E667" s="5">
        <v>0.64700000000000002</v>
      </c>
      <c r="F667" s="5">
        <v>1.6E-2</v>
      </c>
    </row>
    <row r="668" spans="2:6" x14ac:dyDescent="0.2">
      <c r="B668" s="9" t="s">
        <v>5960</v>
      </c>
      <c r="C668" s="15" t="s">
        <v>4724</v>
      </c>
      <c r="D668" s="12" t="str">
        <f>"0004-9425"</f>
        <v>0004-9425</v>
      </c>
      <c r="E668" s="5">
        <v>1.321</v>
      </c>
      <c r="F668" s="5">
        <v>0.23</v>
      </c>
    </row>
    <row r="669" spans="2:6" x14ac:dyDescent="0.2">
      <c r="B669" s="9" t="s">
        <v>8392</v>
      </c>
      <c r="C669" s="15" t="s">
        <v>8393</v>
      </c>
      <c r="D669" s="12" t="str">
        <f>"0045-0618"</f>
        <v>0045-0618</v>
      </c>
      <c r="E669" s="5">
        <v>1.083</v>
      </c>
      <c r="F669" s="5">
        <v>0.23499999999999999</v>
      </c>
    </row>
    <row r="670" spans="2:6" x14ac:dyDescent="0.2">
      <c r="B670" s="9" t="s">
        <v>8394</v>
      </c>
      <c r="C670" s="15" t="s">
        <v>8395</v>
      </c>
      <c r="D670" s="12" t="str">
        <f>"2208-794X"</f>
        <v>2208-794X</v>
      </c>
      <c r="E670" s="5">
        <v>1.2609999999999999</v>
      </c>
      <c r="F670" s="5">
        <v>0.25700000000000001</v>
      </c>
    </row>
    <row r="671" spans="2:6" x14ac:dyDescent="0.2">
      <c r="B671" s="9" t="s">
        <v>1883</v>
      </c>
      <c r="C671" s="15" t="s">
        <v>1884</v>
      </c>
      <c r="D671" s="12" t="str">
        <f>"1448-7527"</f>
        <v>1448-7527</v>
      </c>
      <c r="E671" s="5">
        <v>1.3069999999999999</v>
      </c>
      <c r="F671" s="5">
        <v>0.16700000000000001</v>
      </c>
    </row>
    <row r="672" spans="2:6" x14ac:dyDescent="0.2">
      <c r="B672" s="9" t="s">
        <v>1885</v>
      </c>
      <c r="C672" s="15" t="s">
        <v>1886</v>
      </c>
      <c r="D672" s="12" t="str">
        <f>"0004-9530"</f>
        <v>0004-9530</v>
      </c>
      <c r="E672" s="5">
        <v>2.3159999999999998</v>
      </c>
      <c r="F672" s="5">
        <v>0.53200000000000003</v>
      </c>
    </row>
    <row r="673" spans="2:6" x14ac:dyDescent="0.2">
      <c r="B673" s="9" t="s">
        <v>1887</v>
      </c>
      <c r="C673" s="15" t="s">
        <v>1888</v>
      </c>
      <c r="D673" s="12" t="str">
        <f>"1038-5282"</f>
        <v>1038-5282</v>
      </c>
      <c r="E673" s="5">
        <v>1.6619999999999999</v>
      </c>
      <c r="F673" s="5">
        <v>0.38100000000000001</v>
      </c>
    </row>
    <row r="674" spans="2:6" x14ac:dyDescent="0.2">
      <c r="B674" s="9" t="s">
        <v>5961</v>
      </c>
      <c r="C674" s="15" t="s">
        <v>4725</v>
      </c>
      <c r="D674" s="12" t="str">
        <f>"0004-8666"</f>
        <v>0004-8666</v>
      </c>
      <c r="E674" s="5">
        <v>2.1</v>
      </c>
      <c r="F674" s="5">
        <v>0.30099999999999999</v>
      </c>
    </row>
    <row r="675" spans="2:6" x14ac:dyDescent="0.2">
      <c r="B675" s="9" t="s">
        <v>5962</v>
      </c>
      <c r="C675" s="15" t="s">
        <v>4726</v>
      </c>
      <c r="D675" s="12" t="str">
        <f>"0004-8674"</f>
        <v>0004-8674</v>
      </c>
      <c r="E675" s="5">
        <v>5.7439999999999998</v>
      </c>
      <c r="F675" s="5">
        <v>0.86599999999999999</v>
      </c>
    </row>
    <row r="676" spans="2:6" x14ac:dyDescent="0.2">
      <c r="B676" s="9" t="s">
        <v>5963</v>
      </c>
      <c r="C676" s="15" t="s">
        <v>4727</v>
      </c>
      <c r="D676" s="12" t="str">
        <f>"1326-0200"</f>
        <v>1326-0200</v>
      </c>
      <c r="E676" s="5">
        <v>2.9390000000000001</v>
      </c>
      <c r="F676" s="5">
        <v>0.625</v>
      </c>
    </row>
    <row r="677" spans="2:6" x14ac:dyDescent="0.2">
      <c r="B677" s="9" t="s">
        <v>5964</v>
      </c>
      <c r="C677" s="15" t="s">
        <v>4728</v>
      </c>
      <c r="D677" s="12" t="str">
        <f>"1369-1473"</f>
        <v>1369-1473</v>
      </c>
      <c r="E677" s="5">
        <v>0.64</v>
      </c>
      <c r="F677" s="5">
        <v>5.6000000000000001E-2</v>
      </c>
    </row>
    <row r="678" spans="2:6" x14ac:dyDescent="0.2">
      <c r="B678" s="9" t="s">
        <v>1889</v>
      </c>
      <c r="C678" s="15" t="s">
        <v>1890</v>
      </c>
      <c r="D678" s="12" t="str">
        <f>"0045-0766"</f>
        <v>0045-0766</v>
      </c>
      <c r="E678" s="5">
        <v>1.8560000000000001</v>
      </c>
      <c r="F678" s="5">
        <v>0.34499999999999997</v>
      </c>
    </row>
    <row r="679" spans="2:6" x14ac:dyDescent="0.2">
      <c r="B679" s="9" t="s">
        <v>1891</v>
      </c>
      <c r="C679" s="15" t="s">
        <v>1892</v>
      </c>
      <c r="D679" s="12" t="str">
        <f>"0005-0067"</f>
        <v>0005-0067</v>
      </c>
      <c r="E679" s="5">
        <v>1.788</v>
      </c>
      <c r="F679" s="5">
        <v>0.40300000000000002</v>
      </c>
    </row>
    <row r="680" spans="2:6" x14ac:dyDescent="0.2">
      <c r="B680" s="9" t="s">
        <v>8396</v>
      </c>
      <c r="C680" s="15" t="s">
        <v>8397</v>
      </c>
      <c r="D680" s="12" t="str">
        <f>"2588-994X"</f>
        <v>2588-994X</v>
      </c>
      <c r="E680" s="5">
        <v>1.2829999999999999</v>
      </c>
      <c r="F680" s="5">
        <v>0.26200000000000001</v>
      </c>
    </row>
    <row r="681" spans="2:6" x14ac:dyDescent="0.2">
      <c r="B681" s="9" t="s">
        <v>1893</v>
      </c>
      <c r="C681" s="15" t="s">
        <v>1894</v>
      </c>
      <c r="D681" s="12" t="str">
        <f>"1440-6381"</f>
        <v>1440-6381</v>
      </c>
      <c r="E681" s="5">
        <v>2.1110000000000002</v>
      </c>
      <c r="F681" s="5">
        <v>0.36099999999999999</v>
      </c>
    </row>
    <row r="682" spans="2:6" x14ac:dyDescent="0.2">
      <c r="B682" s="9" t="s">
        <v>1895</v>
      </c>
      <c r="C682" s="15" t="s">
        <v>1896</v>
      </c>
      <c r="D682" s="12" t="str">
        <f>"0004-8380"</f>
        <v>0004-8380</v>
      </c>
      <c r="E682" s="5">
        <v>2.875</v>
      </c>
      <c r="F682" s="5">
        <v>0.5</v>
      </c>
    </row>
    <row r="683" spans="2:6" x14ac:dyDescent="0.2">
      <c r="B683" s="9" t="s">
        <v>8398</v>
      </c>
      <c r="C683" s="15" t="s">
        <v>8399</v>
      </c>
      <c r="D683" s="12" t="str">
        <f>"2207-7472"</f>
        <v>2207-7472</v>
      </c>
      <c r="E683" s="5">
        <v>0.22600000000000001</v>
      </c>
      <c r="F683" s="5">
        <v>2.1999999999999999E-2</v>
      </c>
    </row>
    <row r="684" spans="2:6" x14ac:dyDescent="0.2">
      <c r="B684" s="9" t="s">
        <v>1897</v>
      </c>
      <c r="C684" s="15" t="s">
        <v>1898</v>
      </c>
      <c r="D684" s="12" t="str">
        <f>"0158-9938"</f>
        <v>0158-9938</v>
      </c>
      <c r="E684" s="5">
        <v>1.43</v>
      </c>
      <c r="F684" s="5">
        <v>0.126</v>
      </c>
    </row>
    <row r="685" spans="2:6" x14ac:dyDescent="0.2">
      <c r="B685" s="9" t="s">
        <v>1899</v>
      </c>
      <c r="C685" s="15" t="s">
        <v>1900</v>
      </c>
      <c r="D685" s="12" t="str">
        <f>"1039-8562"</f>
        <v>1039-8562</v>
      </c>
      <c r="E685" s="5">
        <v>1.369</v>
      </c>
      <c r="F685" s="5">
        <v>0.18099999999999999</v>
      </c>
    </row>
    <row r="686" spans="2:6" x14ac:dyDescent="0.2">
      <c r="B686" s="9" t="s">
        <v>8400</v>
      </c>
      <c r="C686" s="15" t="s">
        <v>8401</v>
      </c>
      <c r="D686" s="12" t="str">
        <f>"0719-8000"</f>
        <v>0719-8000</v>
      </c>
      <c r="E686" s="5">
        <v>0.87</v>
      </c>
      <c r="F686" s="5">
        <v>0.308</v>
      </c>
    </row>
    <row r="687" spans="2:6" x14ac:dyDescent="0.2">
      <c r="B687" s="9" t="s">
        <v>5965</v>
      </c>
      <c r="C687" s="15" t="s">
        <v>4729</v>
      </c>
      <c r="D687" s="12" t="str">
        <f>"1751-0813"</f>
        <v>1751-0813</v>
      </c>
      <c r="E687" s="5">
        <v>1.2809999999999999</v>
      </c>
      <c r="F687" s="5">
        <v>0.41799999999999998</v>
      </c>
    </row>
    <row r="688" spans="2:6" x14ac:dyDescent="0.2">
      <c r="B688" s="9" t="s">
        <v>1901</v>
      </c>
      <c r="C688" s="15" t="s">
        <v>1901</v>
      </c>
      <c r="D688" s="12" t="str">
        <f>"1362-3613"</f>
        <v>1362-3613</v>
      </c>
      <c r="E688" s="5">
        <v>5.6890000000000001</v>
      </c>
      <c r="F688" s="5">
        <v>0.92200000000000004</v>
      </c>
    </row>
    <row r="689" spans="2:6" x14ac:dyDescent="0.2">
      <c r="B689" s="9" t="s">
        <v>8402</v>
      </c>
      <c r="C689" s="15" t="s">
        <v>8403</v>
      </c>
      <c r="D689" s="12" t="str">
        <f>"1939-3792"</f>
        <v>1939-3792</v>
      </c>
      <c r="E689" s="5">
        <v>5.2160000000000002</v>
      </c>
      <c r="F689" s="5">
        <v>0.94299999999999995</v>
      </c>
    </row>
    <row r="690" spans="2:6" x14ac:dyDescent="0.2">
      <c r="B690" s="9" t="s">
        <v>5967</v>
      </c>
      <c r="C690" s="15" t="s">
        <v>5967</v>
      </c>
      <c r="D690" s="12" t="str">
        <f>"0891-6934"</f>
        <v>0891-6934</v>
      </c>
      <c r="E690" s="5">
        <v>2.8149999999999999</v>
      </c>
      <c r="F690" s="5">
        <v>0.253</v>
      </c>
    </row>
    <row r="691" spans="2:6" x14ac:dyDescent="0.2">
      <c r="B691" s="9" t="s">
        <v>5966</v>
      </c>
      <c r="C691" s="15" t="s">
        <v>4730</v>
      </c>
      <c r="D691" s="12" t="str">
        <f>"1568-9972"</f>
        <v>1568-9972</v>
      </c>
      <c r="E691" s="5">
        <v>9.7539999999999996</v>
      </c>
      <c r="F691" s="5">
        <v>0.90700000000000003</v>
      </c>
    </row>
    <row r="692" spans="2:6" x14ac:dyDescent="0.2">
      <c r="B692" s="9" t="s">
        <v>5968</v>
      </c>
      <c r="C692" s="15" t="s">
        <v>4731</v>
      </c>
      <c r="D692" s="12" t="str">
        <f>"1566-0702"</f>
        <v>1566-0702</v>
      </c>
      <c r="E692" s="5">
        <v>3.145</v>
      </c>
      <c r="F692" s="5">
        <v>0.34100000000000003</v>
      </c>
    </row>
    <row r="693" spans="2:6" x14ac:dyDescent="0.2">
      <c r="B693" s="9" t="s">
        <v>5969</v>
      </c>
      <c r="C693" s="15" t="s">
        <v>4732</v>
      </c>
      <c r="D693" s="12" t="str">
        <f>"1554-8627"</f>
        <v>1554-8627</v>
      </c>
      <c r="E693" s="5">
        <v>16.015999999999998</v>
      </c>
      <c r="F693" s="5">
        <v>0.93300000000000005</v>
      </c>
    </row>
    <row r="694" spans="2:6" x14ac:dyDescent="0.2">
      <c r="B694" s="9" t="s">
        <v>5970</v>
      </c>
      <c r="C694" s="15" t="s">
        <v>4733</v>
      </c>
      <c r="D694" s="12" t="str">
        <f>"0005-2086"</f>
        <v>0005-2086</v>
      </c>
      <c r="E694" s="5">
        <v>1.577</v>
      </c>
      <c r="F694" s="5">
        <v>0.54100000000000004</v>
      </c>
    </row>
    <row r="695" spans="2:6" x14ac:dyDescent="0.2">
      <c r="B695" s="9" t="s">
        <v>5971</v>
      </c>
      <c r="C695" s="15" t="s">
        <v>4734</v>
      </c>
      <c r="D695" s="12" t="str">
        <f>"1465-3338"</f>
        <v>1465-3338</v>
      </c>
      <c r="E695" s="5">
        <v>3.3780000000000001</v>
      </c>
      <c r="F695" s="5">
        <v>0.93799999999999994</v>
      </c>
    </row>
    <row r="696" spans="2:6" x14ac:dyDescent="0.2">
      <c r="B696" s="9" t="s">
        <v>5972</v>
      </c>
      <c r="C696" s="15" t="s">
        <v>4735</v>
      </c>
      <c r="D696" s="12" t="str">
        <f>"0001-4079"</f>
        <v>0001-4079</v>
      </c>
      <c r="E696" s="5">
        <v>0.14399999999999999</v>
      </c>
      <c r="F696" s="5">
        <v>1.2E-2</v>
      </c>
    </row>
    <row r="697" spans="2:6" x14ac:dyDescent="0.2">
      <c r="B697" s="9" t="s">
        <v>1905</v>
      </c>
      <c r="C697" s="15" t="s">
        <v>1906</v>
      </c>
      <c r="D697" s="12" t="str">
        <f>"1311-0160"</f>
        <v>1311-0160</v>
      </c>
      <c r="E697" s="5">
        <v>0.51900000000000002</v>
      </c>
      <c r="F697" s="5">
        <v>1.7000000000000001E-2</v>
      </c>
    </row>
    <row r="698" spans="2:6" x14ac:dyDescent="0.2">
      <c r="B698" s="9" t="s">
        <v>8404</v>
      </c>
      <c r="C698" s="15" t="s">
        <v>8405</v>
      </c>
      <c r="D698" s="12" t="str">
        <f>"2146-3123"</f>
        <v>2146-3123</v>
      </c>
      <c r="E698" s="5">
        <v>2.0209999999999999</v>
      </c>
      <c r="F698" s="5">
        <v>0.43099999999999999</v>
      </c>
    </row>
    <row r="699" spans="2:6" x14ac:dyDescent="0.2">
      <c r="B699" s="9" t="s">
        <v>8406</v>
      </c>
      <c r="C699" s="15" t="s">
        <v>8407</v>
      </c>
      <c r="D699" s="12" t="str">
        <f>"1991-007X"</f>
        <v>1991-007X</v>
      </c>
      <c r="E699" s="5">
        <v>0.93</v>
      </c>
      <c r="F699" s="5">
        <v>5.8000000000000003E-2</v>
      </c>
    </row>
    <row r="700" spans="2:6" x14ac:dyDescent="0.2">
      <c r="B700" s="9" t="s">
        <v>8408</v>
      </c>
      <c r="C700" s="15" t="s">
        <v>8409</v>
      </c>
      <c r="D700" s="12" t="str">
        <f>"2168-023X"</f>
        <v>2168-023X</v>
      </c>
      <c r="E700" s="5">
        <v>0.60699999999999998</v>
      </c>
      <c r="F700" s="5">
        <v>3.3000000000000002E-2</v>
      </c>
    </row>
    <row r="701" spans="2:6" x14ac:dyDescent="0.2">
      <c r="B701" s="9" t="s">
        <v>1907</v>
      </c>
      <c r="C701" s="15" t="s">
        <v>1908</v>
      </c>
      <c r="D701" s="12" t="str">
        <f>"0197-3533"</f>
        <v>0197-3533</v>
      </c>
      <c r="E701" s="5">
        <v>1.534</v>
      </c>
      <c r="F701" s="5">
        <v>0.20300000000000001</v>
      </c>
    </row>
    <row r="702" spans="2:6" x14ac:dyDescent="0.2">
      <c r="B702" s="9" t="s">
        <v>8410</v>
      </c>
      <c r="C702" s="15" t="s">
        <v>8411</v>
      </c>
      <c r="D702" s="12" t="str">
        <f>"2051-4190"</f>
        <v>2051-4190</v>
      </c>
      <c r="E702" s="5">
        <v>2.6880000000000002</v>
      </c>
      <c r="F702" s="5">
        <v>0.25</v>
      </c>
    </row>
    <row r="703" spans="2:6" x14ac:dyDescent="0.2">
      <c r="B703" s="9" t="s">
        <v>5981</v>
      </c>
      <c r="C703" s="15" t="s">
        <v>4745</v>
      </c>
      <c r="D703" s="12" t="str">
        <f>"1742-7835"</f>
        <v>1742-7835</v>
      </c>
      <c r="E703" s="5">
        <v>4.08</v>
      </c>
      <c r="F703" s="5">
        <v>0.65600000000000003</v>
      </c>
    </row>
    <row r="704" spans="2:6" x14ac:dyDescent="0.2">
      <c r="B704" s="9" t="s">
        <v>5982</v>
      </c>
      <c r="C704" s="15" t="s">
        <v>4746</v>
      </c>
      <c r="D704" s="12" t="str">
        <f>"0300-8428"</f>
        <v>0300-8428</v>
      </c>
      <c r="E704" s="5">
        <v>17.164999999999999</v>
      </c>
      <c r="F704" s="5">
        <v>0.96499999999999997</v>
      </c>
    </row>
    <row r="705" spans="2:6" x14ac:dyDescent="0.2">
      <c r="B705" s="9" t="s">
        <v>1909</v>
      </c>
      <c r="C705" s="15" t="s">
        <v>1910</v>
      </c>
      <c r="D705" s="12" t="str">
        <f>"1931-6690"</f>
        <v>1931-6690</v>
      </c>
      <c r="E705" s="5">
        <v>3.7280000000000002</v>
      </c>
      <c r="F705" s="5">
        <v>0.89600000000000002</v>
      </c>
    </row>
    <row r="706" spans="2:6" x14ac:dyDescent="0.2">
      <c r="B706" s="9" t="s">
        <v>5983</v>
      </c>
      <c r="C706" s="15" t="s">
        <v>4747</v>
      </c>
      <c r="D706" s="12" t="str">
        <f>"0005-2728"</f>
        <v>0005-2728</v>
      </c>
      <c r="E706" s="5">
        <v>3.9910000000000001</v>
      </c>
      <c r="F706" s="5">
        <v>0.71799999999999997</v>
      </c>
    </row>
    <row r="707" spans="2:6" x14ac:dyDescent="0.2">
      <c r="B707" s="9" t="s">
        <v>5984</v>
      </c>
      <c r="C707" s="15" t="s">
        <v>4748</v>
      </c>
      <c r="D707" s="12" t="str">
        <f>"0005-2736"</f>
        <v>0005-2736</v>
      </c>
      <c r="E707" s="5">
        <v>3.7469999999999999</v>
      </c>
      <c r="F707" s="5">
        <v>0.63400000000000001</v>
      </c>
    </row>
    <row r="708" spans="2:6" x14ac:dyDescent="0.2">
      <c r="B708" s="9" t="s">
        <v>1911</v>
      </c>
      <c r="C708" s="15" t="s">
        <v>1912</v>
      </c>
      <c r="D708" s="12" t="str">
        <f>"1874-9399"</f>
        <v>1874-9399</v>
      </c>
      <c r="E708" s="5">
        <v>4.49</v>
      </c>
      <c r="F708" s="5">
        <v>0.78900000000000003</v>
      </c>
    </row>
    <row r="709" spans="2:6" x14ac:dyDescent="0.2">
      <c r="B709" s="9" t="s">
        <v>5985</v>
      </c>
      <c r="C709" s="15" t="s">
        <v>4749</v>
      </c>
      <c r="D709" s="12" t="str">
        <f>"0304-4165"</f>
        <v>0304-4165</v>
      </c>
      <c r="E709" s="5">
        <v>3.77</v>
      </c>
      <c r="F709" s="5">
        <v>0.66200000000000003</v>
      </c>
    </row>
    <row r="710" spans="2:6" x14ac:dyDescent="0.2">
      <c r="B710" s="9" t="s">
        <v>5986</v>
      </c>
      <c r="C710" s="15" t="s">
        <v>4750</v>
      </c>
      <c r="D710" s="12" t="str">
        <f>"0925-4439"</f>
        <v>0925-4439</v>
      </c>
      <c r="E710" s="5">
        <v>5.1870000000000003</v>
      </c>
      <c r="F710" s="5">
        <v>0.84499999999999997</v>
      </c>
    </row>
    <row r="711" spans="2:6" x14ac:dyDescent="0.2">
      <c r="B711" s="9" t="s">
        <v>5987</v>
      </c>
      <c r="C711" s="15" t="s">
        <v>4751</v>
      </c>
      <c r="D711" s="12" t="str">
        <f>"1388-1981"</f>
        <v>1388-1981</v>
      </c>
      <c r="E711" s="5">
        <v>4.6980000000000004</v>
      </c>
      <c r="F711" s="5">
        <v>0.80300000000000005</v>
      </c>
    </row>
    <row r="712" spans="2:6" x14ac:dyDescent="0.2">
      <c r="B712" s="9" t="s">
        <v>5988</v>
      </c>
      <c r="C712" s="15" t="s">
        <v>4752</v>
      </c>
      <c r="D712" s="12" t="str">
        <f>"0167-4889"</f>
        <v>0167-4889</v>
      </c>
      <c r="E712" s="5">
        <v>4.7389999999999999</v>
      </c>
      <c r="F712" s="5">
        <v>0.66200000000000003</v>
      </c>
    </row>
    <row r="713" spans="2:6" x14ac:dyDescent="0.2">
      <c r="B713" s="9" t="s">
        <v>5989</v>
      </c>
      <c r="C713" s="15" t="s">
        <v>4753</v>
      </c>
      <c r="D713" s="12" t="str">
        <f>"1570-9639"</f>
        <v>1570-9639</v>
      </c>
      <c r="E713" s="5">
        <v>3.036</v>
      </c>
      <c r="F713" s="5">
        <v>0.52100000000000002</v>
      </c>
    </row>
    <row r="714" spans="2:6" x14ac:dyDescent="0.2">
      <c r="B714" s="9" t="s">
        <v>5990</v>
      </c>
      <c r="C714" s="15" t="s">
        <v>4754</v>
      </c>
      <c r="D714" s="12" t="str">
        <f>"0304-419X"</f>
        <v>0304-419X</v>
      </c>
      <c r="E714" s="5">
        <v>10.68</v>
      </c>
      <c r="F714" s="5">
        <v>0.95799999999999996</v>
      </c>
    </row>
    <row r="715" spans="2:6" x14ac:dyDescent="0.2">
      <c r="B715" s="9" t="s">
        <v>5973</v>
      </c>
      <c r="C715" s="15" t="s">
        <v>4736</v>
      </c>
      <c r="D715" s="12" t="str">
        <f>"0007-4551"</f>
        <v>0007-4551</v>
      </c>
      <c r="E715" s="5">
        <v>1.276</v>
      </c>
      <c r="F715" s="5">
        <v>4.5999999999999999E-2</v>
      </c>
    </row>
    <row r="716" spans="2:6" x14ac:dyDescent="0.2">
      <c r="B716" s="9" t="s">
        <v>5974</v>
      </c>
      <c r="C716" s="15" t="s">
        <v>4737</v>
      </c>
      <c r="D716" s="12" t="str">
        <f>"1011-3924"</f>
        <v>1011-3924</v>
      </c>
      <c r="E716" s="5">
        <v>1.33</v>
      </c>
      <c r="F716" s="5">
        <v>0.23599999999999999</v>
      </c>
    </row>
    <row r="717" spans="2:6" x14ac:dyDescent="0.2">
      <c r="B717" s="9" t="s">
        <v>5975</v>
      </c>
      <c r="C717" s="15" t="s">
        <v>4738</v>
      </c>
      <c r="D717" s="12" t="str">
        <f>"0009-2673"</f>
        <v>0009-2673</v>
      </c>
      <c r="E717" s="5">
        <v>5.4880000000000004</v>
      </c>
      <c r="F717" s="5">
        <v>0.71899999999999997</v>
      </c>
    </row>
    <row r="718" spans="2:6" x14ac:dyDescent="0.2">
      <c r="B718" s="9" t="s">
        <v>8412</v>
      </c>
      <c r="C718" s="15" t="s">
        <v>8413</v>
      </c>
      <c r="D718" s="12" t="str">
        <f>"1744-9081"</f>
        <v>1744-9081</v>
      </c>
      <c r="E718" s="5">
        <v>3.7589999999999999</v>
      </c>
      <c r="F718" s="5">
        <v>0.83</v>
      </c>
    </row>
    <row r="719" spans="2:6" x14ac:dyDescent="0.2">
      <c r="B719" s="9" t="s">
        <v>5991</v>
      </c>
      <c r="C719" s="15" t="s">
        <v>4755</v>
      </c>
      <c r="D719" s="12" t="str">
        <f>"0166-4328"</f>
        <v>0166-4328</v>
      </c>
      <c r="E719" s="5">
        <v>3.3319999999999999</v>
      </c>
      <c r="F719" s="5">
        <v>0.69799999999999995</v>
      </c>
    </row>
    <row r="720" spans="2:6" x14ac:dyDescent="0.2">
      <c r="B720" s="9" t="s">
        <v>5992</v>
      </c>
      <c r="C720" s="15" t="s">
        <v>4756</v>
      </c>
      <c r="D720" s="12" t="str">
        <f>"0140-525X"</f>
        <v>0140-525X</v>
      </c>
      <c r="E720" s="5">
        <v>12.579000000000001</v>
      </c>
      <c r="F720" s="5">
        <v>1</v>
      </c>
    </row>
    <row r="721" spans="2:6" x14ac:dyDescent="0.2">
      <c r="B721" s="9" t="s">
        <v>1913</v>
      </c>
      <c r="C721" s="15" t="s">
        <v>1914</v>
      </c>
      <c r="D721" s="12" t="str">
        <f>"0813-4839"</f>
        <v>0813-4839</v>
      </c>
      <c r="E721" s="5">
        <v>1.4690000000000001</v>
      </c>
      <c r="F721" s="5">
        <v>0.223</v>
      </c>
    </row>
    <row r="722" spans="2:6" x14ac:dyDescent="0.2">
      <c r="B722" s="9" t="s">
        <v>1915</v>
      </c>
      <c r="C722" s="15" t="s">
        <v>1916</v>
      </c>
      <c r="D722" s="12" t="str">
        <f>"1352-4658"</f>
        <v>1352-4658</v>
      </c>
      <c r="E722" s="5">
        <v>2.2789999999999999</v>
      </c>
      <c r="F722" s="5">
        <v>0.36199999999999999</v>
      </c>
    </row>
    <row r="723" spans="2:6" x14ac:dyDescent="0.2">
      <c r="B723" s="9" t="s">
        <v>8414</v>
      </c>
      <c r="C723" s="15" t="s">
        <v>8415</v>
      </c>
      <c r="D723" s="12" t="str">
        <f>"0198-7429"</f>
        <v>0198-7429</v>
      </c>
      <c r="E723" s="5">
        <v>2.8210000000000002</v>
      </c>
      <c r="F723" s="5">
        <v>0.77300000000000002</v>
      </c>
    </row>
    <row r="724" spans="2:6" x14ac:dyDescent="0.2">
      <c r="B724" s="9" t="s">
        <v>5993</v>
      </c>
      <c r="C724" s="15" t="s">
        <v>4757</v>
      </c>
      <c r="D724" s="12" t="str">
        <f>"0001-8244"</f>
        <v>0001-8244</v>
      </c>
      <c r="E724" s="5">
        <v>2.8050000000000002</v>
      </c>
      <c r="F724" s="5">
        <v>0.64</v>
      </c>
    </row>
    <row r="725" spans="2:6" x14ac:dyDescent="0.2">
      <c r="B725" s="9" t="s">
        <v>1917</v>
      </c>
      <c r="C725" s="15" t="s">
        <v>1918</v>
      </c>
      <c r="D725" s="12" t="str">
        <f>"1072-0847"</f>
        <v>1072-0847</v>
      </c>
      <c r="E725" s="5">
        <v>1.8520000000000001</v>
      </c>
      <c r="F725" s="5">
        <v>0.27700000000000002</v>
      </c>
    </row>
    <row r="726" spans="2:6" x14ac:dyDescent="0.2">
      <c r="B726" s="9" t="s">
        <v>5994</v>
      </c>
      <c r="C726" s="15" t="s">
        <v>4758</v>
      </c>
      <c r="D726" s="12" t="str">
        <f>"1940-4026"</f>
        <v>1940-4026</v>
      </c>
      <c r="E726" s="5">
        <v>3.1040000000000001</v>
      </c>
      <c r="F726" s="5">
        <v>0.58499999999999996</v>
      </c>
    </row>
    <row r="727" spans="2:6" x14ac:dyDescent="0.2">
      <c r="B727" s="9" t="s">
        <v>1919</v>
      </c>
      <c r="C727" s="15" t="s">
        <v>1920</v>
      </c>
      <c r="D727" s="12" t="str">
        <f>"0145-4455"</f>
        <v>0145-4455</v>
      </c>
      <c r="E727" s="5">
        <v>3.3679999999999999</v>
      </c>
      <c r="F727" s="5">
        <v>0.60799999999999998</v>
      </c>
    </row>
    <row r="728" spans="2:6" x14ac:dyDescent="0.2">
      <c r="B728" s="9" t="s">
        <v>5995</v>
      </c>
      <c r="C728" s="15" t="s">
        <v>4759</v>
      </c>
      <c r="D728" s="12" t="str">
        <f>"0953-4180"</f>
        <v>0953-4180</v>
      </c>
      <c r="E728" s="5">
        <v>3.3420000000000001</v>
      </c>
      <c r="F728" s="5">
        <v>0.51400000000000001</v>
      </c>
    </row>
    <row r="729" spans="2:6" x14ac:dyDescent="0.2">
      <c r="B729" s="9" t="s">
        <v>5996</v>
      </c>
      <c r="C729" s="15" t="s">
        <v>4760</v>
      </c>
      <c r="D729" s="12" t="str">
        <f>"0735-7044"</f>
        <v>0735-7044</v>
      </c>
      <c r="E729" s="5">
        <v>1.9119999999999999</v>
      </c>
      <c r="F729" s="5">
        <v>0.17</v>
      </c>
    </row>
    <row r="730" spans="2:6" x14ac:dyDescent="0.2">
      <c r="B730" s="9" t="s">
        <v>5997</v>
      </c>
      <c r="C730" s="15" t="s">
        <v>4761</v>
      </c>
      <c r="D730" s="12" t="str">
        <f>"0955-8810"</f>
        <v>0955-8810</v>
      </c>
      <c r="E730" s="5">
        <v>2.2930000000000001</v>
      </c>
      <c r="F730" s="5">
        <v>0.28299999999999997</v>
      </c>
    </row>
    <row r="731" spans="2:6" x14ac:dyDescent="0.2">
      <c r="B731" s="9" t="s">
        <v>1921</v>
      </c>
      <c r="C731" s="15" t="s">
        <v>1922</v>
      </c>
      <c r="D731" s="12" t="str">
        <f>"0376-6357"</f>
        <v>0376-6357</v>
      </c>
      <c r="E731" s="5">
        <v>1.7769999999999999</v>
      </c>
      <c r="F731" s="5">
        <v>0.59799999999999998</v>
      </c>
    </row>
    <row r="732" spans="2:6" x14ac:dyDescent="0.2">
      <c r="B732" s="9" t="s">
        <v>8416</v>
      </c>
      <c r="C732" s="15" t="s">
        <v>8417</v>
      </c>
      <c r="D732" s="12" t="str">
        <f>"1132-9483"</f>
        <v>1132-9483</v>
      </c>
      <c r="E732" s="5">
        <v>1.091</v>
      </c>
      <c r="F732" s="5">
        <v>0.154</v>
      </c>
    </row>
    <row r="733" spans="2:6" x14ac:dyDescent="0.2">
      <c r="B733" s="9" t="s">
        <v>1923</v>
      </c>
      <c r="C733" s="15" t="s">
        <v>1924</v>
      </c>
      <c r="D733" s="12" t="str">
        <f>"1554-3528"</f>
        <v>1554-3528</v>
      </c>
      <c r="E733" s="5">
        <v>6.242</v>
      </c>
      <c r="F733" s="5">
        <v>1</v>
      </c>
    </row>
    <row r="734" spans="2:6" x14ac:dyDescent="0.2">
      <c r="B734" s="9" t="s">
        <v>1925</v>
      </c>
      <c r="C734" s="15" t="s">
        <v>1926</v>
      </c>
      <c r="D734" s="12" t="str">
        <f>"0005-7967"</f>
        <v>0005-7967</v>
      </c>
      <c r="E734" s="5">
        <v>4.4729999999999999</v>
      </c>
      <c r="F734" s="5">
        <v>0.80800000000000005</v>
      </c>
    </row>
    <row r="735" spans="2:6" x14ac:dyDescent="0.2">
      <c r="B735" s="9" t="s">
        <v>1927</v>
      </c>
      <c r="C735" s="15" t="s">
        <v>1928</v>
      </c>
      <c r="D735" s="12" t="str">
        <f>"0735-3936"</f>
        <v>0735-3936</v>
      </c>
      <c r="E735" s="5">
        <v>2.1030000000000002</v>
      </c>
      <c r="F735" s="5">
        <v>0.76200000000000001</v>
      </c>
    </row>
    <row r="736" spans="2:6" x14ac:dyDescent="0.2">
      <c r="B736" s="9" t="s">
        <v>8418</v>
      </c>
      <c r="C736" s="15" t="s">
        <v>8419</v>
      </c>
      <c r="D736" s="12" t="str">
        <f>"1540-2002"</f>
        <v>1540-2002</v>
      </c>
      <c r="E736" s="5">
        <v>2.964</v>
      </c>
      <c r="F736" s="5">
        <v>0.49099999999999999</v>
      </c>
    </row>
    <row r="737" spans="2:6" x14ac:dyDescent="0.2">
      <c r="B737" s="9" t="s">
        <v>1929</v>
      </c>
      <c r="C737" s="15" t="s">
        <v>1930</v>
      </c>
      <c r="D737" s="12" t="str">
        <f>"0005-7894"</f>
        <v>0005-7894</v>
      </c>
      <c r="E737" s="5">
        <v>4.1829999999999998</v>
      </c>
      <c r="F737" s="5">
        <v>0.76900000000000002</v>
      </c>
    </row>
    <row r="738" spans="2:6" x14ac:dyDescent="0.2">
      <c r="B738" s="9" t="s">
        <v>5998</v>
      </c>
      <c r="C738" s="15" t="s">
        <v>4762</v>
      </c>
      <c r="D738" s="12" t="str">
        <f>"1860-5397"</f>
        <v>1860-5397</v>
      </c>
      <c r="E738" s="5">
        <v>2.883</v>
      </c>
      <c r="F738" s="5">
        <v>0.61399999999999999</v>
      </c>
    </row>
    <row r="739" spans="2:6" x14ac:dyDescent="0.2">
      <c r="B739" s="9" t="s">
        <v>8420</v>
      </c>
      <c r="C739" s="15" t="s">
        <v>8421</v>
      </c>
      <c r="D739" s="12" t="str">
        <f>"1876-2883"</f>
        <v>1876-2883</v>
      </c>
      <c r="E739" s="5">
        <v>4.2050000000000001</v>
      </c>
      <c r="F739" s="5">
        <v>0.64400000000000002</v>
      </c>
    </row>
    <row r="740" spans="2:6" x14ac:dyDescent="0.2">
      <c r="B740" s="9" t="s">
        <v>5999</v>
      </c>
      <c r="C740" s="15" t="s">
        <v>5999</v>
      </c>
      <c r="D740" s="12" t="str">
        <f>"1781-782X"</f>
        <v>1781-782X</v>
      </c>
      <c r="E740" s="5">
        <v>8.2000000000000003E-2</v>
      </c>
      <c r="F740" s="5">
        <v>4.4999999999999998E-2</v>
      </c>
    </row>
    <row r="741" spans="2:6" x14ac:dyDescent="0.2">
      <c r="B741" s="9" t="s">
        <v>5976</v>
      </c>
      <c r="C741" s="15" t="s">
        <v>4739</v>
      </c>
      <c r="D741" s="12" t="str">
        <f>"0007-4861"</f>
        <v>0007-4861</v>
      </c>
      <c r="E741" s="5">
        <v>2.1509999999999998</v>
      </c>
      <c r="F741" s="5">
        <v>0.28899999999999998</v>
      </c>
    </row>
    <row r="742" spans="2:6" x14ac:dyDescent="0.2">
      <c r="B742" s="9" t="s">
        <v>6000</v>
      </c>
      <c r="C742" s="15" t="s">
        <v>4763</v>
      </c>
      <c r="D742" s="12" t="str">
        <f>"0005-9366"</f>
        <v>0005-9366</v>
      </c>
      <c r="E742" s="5">
        <v>0.32800000000000001</v>
      </c>
      <c r="F742" s="5">
        <v>6.2E-2</v>
      </c>
    </row>
    <row r="743" spans="2:6" x14ac:dyDescent="0.2">
      <c r="B743" s="9" t="s">
        <v>6001</v>
      </c>
      <c r="C743" s="15" t="s">
        <v>6001</v>
      </c>
      <c r="D743" s="12" t="str">
        <f>"1350-7265"</f>
        <v>1350-7265</v>
      </c>
      <c r="E743" s="5">
        <v>1.595</v>
      </c>
      <c r="F743" s="5">
        <v>0.54400000000000004</v>
      </c>
    </row>
    <row r="744" spans="2:6" x14ac:dyDescent="0.2">
      <c r="B744" s="9" t="s">
        <v>8422</v>
      </c>
      <c r="C744" s="15" t="s">
        <v>8423</v>
      </c>
      <c r="D744" s="12" t="str">
        <f>"0170-6233"</f>
        <v>0170-6233</v>
      </c>
      <c r="E744" s="5">
        <v>0.32800000000000001</v>
      </c>
      <c r="F744" s="5">
        <v>0.108</v>
      </c>
    </row>
    <row r="745" spans="2:6" ht="25.5" x14ac:dyDescent="0.2">
      <c r="B745" s="9" t="s">
        <v>8424</v>
      </c>
      <c r="C745" s="15" t="s">
        <v>8424</v>
      </c>
      <c r="D745" s="12" t="str">
        <f>"1521-6896"</f>
        <v>1521-6896</v>
      </c>
      <c r="E745" s="5">
        <v>2.431</v>
      </c>
      <c r="F745" s="5">
        <v>0.30299999999999999</v>
      </c>
    </row>
    <row r="746" spans="2:6" x14ac:dyDescent="0.2">
      <c r="B746" s="9" t="s">
        <v>6002</v>
      </c>
      <c r="C746" s="15" t="s">
        <v>4764</v>
      </c>
      <c r="D746" s="12" t="str">
        <f>"1521-690X"</f>
        <v>1521-690X</v>
      </c>
      <c r="E746" s="5">
        <v>4.6900000000000004</v>
      </c>
      <c r="F746" s="5">
        <v>0.65500000000000003</v>
      </c>
    </row>
    <row r="747" spans="2:6" x14ac:dyDescent="0.2">
      <c r="B747" s="9" t="s">
        <v>6003</v>
      </c>
      <c r="C747" s="15" t="s">
        <v>8425</v>
      </c>
      <c r="D747" s="12" t="str">
        <f>"1521-6918"</f>
        <v>1521-6918</v>
      </c>
      <c r="E747" s="5">
        <v>3.0430000000000001</v>
      </c>
      <c r="F747" s="5">
        <v>0.27200000000000002</v>
      </c>
    </row>
    <row r="748" spans="2:6" x14ac:dyDescent="0.2">
      <c r="B748" s="9" t="s">
        <v>6004</v>
      </c>
      <c r="C748" s="15" t="s">
        <v>4765</v>
      </c>
      <c r="D748" s="12" t="str">
        <f>"1521-6926"</f>
        <v>1521-6926</v>
      </c>
      <c r="E748" s="5">
        <v>3.02</v>
      </c>
      <c r="F748" s="5">
        <v>0.38200000000000001</v>
      </c>
    </row>
    <row r="749" spans="2:6" x14ac:dyDescent="0.2">
      <c r="B749" s="9" t="s">
        <v>6005</v>
      </c>
      <c r="C749" s="15" t="s">
        <v>8426</v>
      </c>
      <c r="D749" s="12" t="str">
        <f>"1521-6934"</f>
        <v>1521-6934</v>
      </c>
      <c r="E749" s="5">
        <v>5.2370000000000001</v>
      </c>
      <c r="F749" s="5">
        <v>0.90400000000000003</v>
      </c>
    </row>
    <row r="750" spans="2:6" x14ac:dyDescent="0.2">
      <c r="B750" s="9" t="s">
        <v>6006</v>
      </c>
      <c r="C750" s="15" t="s">
        <v>4766</v>
      </c>
      <c r="D750" s="12" t="str">
        <f>"1521-6942"</f>
        <v>1521-6942</v>
      </c>
      <c r="E750" s="5">
        <v>4.0979999999999999</v>
      </c>
      <c r="F750" s="5">
        <v>0.5</v>
      </c>
    </row>
    <row r="751" spans="2:6" x14ac:dyDescent="0.2">
      <c r="B751" s="9" t="s">
        <v>5977</v>
      </c>
      <c r="C751" s="15" t="s">
        <v>4740</v>
      </c>
      <c r="D751" s="12" t="str">
        <f>"0007-4888"</f>
        <v>0007-4888</v>
      </c>
      <c r="E751" s="5">
        <v>0.80400000000000005</v>
      </c>
      <c r="F751" s="5">
        <v>0.05</v>
      </c>
    </row>
    <row r="752" spans="2:6" x14ac:dyDescent="0.2">
      <c r="B752" s="9" t="s">
        <v>5978</v>
      </c>
      <c r="C752" s="15" t="s">
        <v>4741</v>
      </c>
      <c r="D752" s="12" t="str">
        <f>"0007-5140"</f>
        <v>0007-5140</v>
      </c>
      <c r="E752" s="5">
        <v>1.3140000000000001</v>
      </c>
      <c r="F752" s="5">
        <v>0.64900000000000002</v>
      </c>
    </row>
    <row r="753" spans="2:6" x14ac:dyDescent="0.2">
      <c r="B753" s="9" t="s">
        <v>8427</v>
      </c>
      <c r="C753" s="15" t="s">
        <v>8428</v>
      </c>
      <c r="D753" s="12" t="str">
        <f>"2053-9517"</f>
        <v>2053-9517</v>
      </c>
      <c r="E753" s="5">
        <v>5.9870000000000001</v>
      </c>
      <c r="F753" s="5">
        <v>1</v>
      </c>
    </row>
    <row r="754" spans="2:6" x14ac:dyDescent="0.2">
      <c r="B754" s="9" t="s">
        <v>8429</v>
      </c>
      <c r="C754" s="15" t="s">
        <v>8430</v>
      </c>
      <c r="D754" s="12" t="str">
        <f>"2167-6461"</f>
        <v>2167-6461</v>
      </c>
      <c r="E754" s="5">
        <v>2.1280000000000001</v>
      </c>
      <c r="F754" s="5">
        <v>0.67300000000000004</v>
      </c>
    </row>
    <row r="755" spans="2:6" x14ac:dyDescent="0.2">
      <c r="B755" s="9" t="s">
        <v>1931</v>
      </c>
      <c r="C755" s="15" t="s">
        <v>1932</v>
      </c>
      <c r="D755" s="12" t="str">
        <f>"1366-7289"</f>
        <v>1366-7289</v>
      </c>
      <c r="E755" s="5">
        <v>3.532</v>
      </c>
      <c r="F755" s="5">
        <v>0.93799999999999994</v>
      </c>
    </row>
    <row r="756" spans="2:6" x14ac:dyDescent="0.2">
      <c r="B756" s="9" t="s">
        <v>8431</v>
      </c>
      <c r="C756" s="15" t="s">
        <v>8432</v>
      </c>
      <c r="D756" s="12" t="str">
        <f>"2452-199X"</f>
        <v>2452-199X</v>
      </c>
      <c r="E756" s="5">
        <v>14.593</v>
      </c>
      <c r="F756" s="5">
        <v>1</v>
      </c>
    </row>
    <row r="757" spans="2:6" x14ac:dyDescent="0.2">
      <c r="B757" s="9" t="s">
        <v>8433</v>
      </c>
      <c r="C757" s="15" t="s">
        <v>8434</v>
      </c>
      <c r="D757" s="12" t="str">
        <f>"1757-6180"</f>
        <v>1757-6180</v>
      </c>
      <c r="E757" s="5">
        <v>2.681</v>
      </c>
      <c r="F757" s="5">
        <v>0.41</v>
      </c>
    </row>
    <row r="758" spans="2:6" x14ac:dyDescent="0.2">
      <c r="B758" s="9" t="s">
        <v>6007</v>
      </c>
      <c r="C758" s="15" t="s">
        <v>4767</v>
      </c>
      <c r="D758" s="12" t="str">
        <f>"1024-2422"</f>
        <v>1024-2422</v>
      </c>
      <c r="E758" s="5">
        <v>2.181</v>
      </c>
      <c r="F758" s="5">
        <v>0.247</v>
      </c>
    </row>
    <row r="759" spans="2:6" x14ac:dyDescent="0.2">
      <c r="B759" s="9" t="s">
        <v>6008</v>
      </c>
      <c r="C759" s="15" t="s">
        <v>6008</v>
      </c>
      <c r="D759" s="12" t="str">
        <f>"0327-9545"</f>
        <v>0327-9545</v>
      </c>
      <c r="E759" s="5">
        <v>1.254</v>
      </c>
      <c r="F759" s="5">
        <v>0.22600000000000001</v>
      </c>
    </row>
    <row r="760" spans="2:6" x14ac:dyDescent="0.2">
      <c r="B760" s="9" t="s">
        <v>6009</v>
      </c>
      <c r="C760" s="15" t="s">
        <v>4768</v>
      </c>
      <c r="D760" s="12" t="str">
        <f>"0006-291X"</f>
        <v>0006-291X</v>
      </c>
      <c r="E760" s="5">
        <v>3.5750000000000002</v>
      </c>
      <c r="F760" s="5">
        <v>0.59199999999999997</v>
      </c>
    </row>
    <row r="761" spans="2:6" x14ac:dyDescent="0.2">
      <c r="B761" s="9" t="s">
        <v>6010</v>
      </c>
      <c r="C761" s="15" t="s">
        <v>8435</v>
      </c>
      <c r="D761" s="12" t="str">
        <f>"0829-8211"</f>
        <v>0829-8211</v>
      </c>
      <c r="E761" s="5">
        <v>3.6259999999999999</v>
      </c>
      <c r="F761" s="5">
        <v>0.436</v>
      </c>
    </row>
    <row r="762" spans="2:6" x14ac:dyDescent="0.2">
      <c r="B762" s="9" t="s">
        <v>6011</v>
      </c>
      <c r="C762" s="15" t="s">
        <v>4769</v>
      </c>
      <c r="D762" s="12" t="str">
        <f>"1369-703X"</f>
        <v>1369-703X</v>
      </c>
      <c r="E762" s="5">
        <v>3.9780000000000002</v>
      </c>
      <c r="F762" s="5">
        <v>0.67800000000000005</v>
      </c>
    </row>
    <row r="763" spans="2:6" x14ac:dyDescent="0.2">
      <c r="B763" s="9" t="s">
        <v>6012</v>
      </c>
      <c r="C763" s="15" t="s">
        <v>4770</v>
      </c>
      <c r="D763" s="12" t="str">
        <f>"0006-2928"</f>
        <v>0006-2928</v>
      </c>
      <c r="E763" s="5">
        <v>1.89</v>
      </c>
      <c r="F763" s="5">
        <v>0.2</v>
      </c>
    </row>
    <row r="764" spans="2:6" x14ac:dyDescent="0.2">
      <c r="B764" s="9" t="s">
        <v>6018</v>
      </c>
      <c r="C764" s="15" t="s">
        <v>4776</v>
      </c>
      <c r="D764" s="12" t="str">
        <f>"0006-2979"</f>
        <v>0006-2979</v>
      </c>
      <c r="E764" s="5">
        <v>2.4870000000000001</v>
      </c>
      <c r="F764" s="5">
        <v>0.23599999999999999</v>
      </c>
    </row>
    <row r="765" spans="2:6" x14ac:dyDescent="0.2">
      <c r="B765" s="9" t="s">
        <v>6019</v>
      </c>
      <c r="C765" s="15" t="s">
        <v>4777</v>
      </c>
      <c r="D765" s="12" t="str">
        <f>"0006-2960"</f>
        <v>0006-2960</v>
      </c>
      <c r="E765" s="5">
        <v>3.1619999999999999</v>
      </c>
      <c r="F765" s="5">
        <v>0.35099999999999998</v>
      </c>
    </row>
    <row r="766" spans="2:6" x14ac:dyDescent="0.2">
      <c r="B766" s="9" t="s">
        <v>6013</v>
      </c>
      <c r="C766" s="15" t="s">
        <v>4771</v>
      </c>
      <c r="D766" s="12" t="str">
        <f>"0264-6021"</f>
        <v>0264-6021</v>
      </c>
      <c r="E766" s="5">
        <v>3.8570000000000002</v>
      </c>
      <c r="F766" s="5">
        <v>0.497</v>
      </c>
    </row>
    <row r="767" spans="2:6" x14ac:dyDescent="0.2">
      <c r="B767" s="9" t="s">
        <v>1933</v>
      </c>
      <c r="C767" s="15" t="s">
        <v>1934</v>
      </c>
      <c r="D767" s="12" t="str">
        <f>"1330-0962"</f>
        <v>1330-0962</v>
      </c>
      <c r="E767" s="5">
        <v>2.3130000000000002</v>
      </c>
      <c r="F767" s="5">
        <v>0.48299999999999998</v>
      </c>
    </row>
    <row r="768" spans="2:6" x14ac:dyDescent="0.2">
      <c r="B768" s="9" t="s">
        <v>6014</v>
      </c>
      <c r="C768" s="15" t="s">
        <v>4772</v>
      </c>
      <c r="D768" s="12" t="str">
        <f>"1470-8175"</f>
        <v>1470-8175</v>
      </c>
      <c r="E768" s="5">
        <v>1.1599999999999999</v>
      </c>
      <c r="F768" s="5">
        <v>0.20899999999999999</v>
      </c>
    </row>
    <row r="769" spans="2:6" x14ac:dyDescent="0.2">
      <c r="B769" s="9" t="s">
        <v>6015</v>
      </c>
      <c r="C769" s="15" t="s">
        <v>4773</v>
      </c>
      <c r="D769" s="12" t="str">
        <f>"0006-2952"</f>
        <v>0006-2952</v>
      </c>
      <c r="E769" s="5">
        <v>5.8579999999999997</v>
      </c>
      <c r="F769" s="5">
        <v>0.86199999999999999</v>
      </c>
    </row>
    <row r="770" spans="2:6" x14ac:dyDescent="0.2">
      <c r="B770" s="9" t="s">
        <v>6016</v>
      </c>
      <c r="C770" s="15" t="s">
        <v>4774</v>
      </c>
      <c r="D770" s="12" t="str">
        <f>"0300-5127"</f>
        <v>0300-5127</v>
      </c>
      <c r="E770" s="5">
        <v>5.407</v>
      </c>
      <c r="F770" s="5">
        <v>0.75</v>
      </c>
    </row>
    <row r="771" spans="2:6" x14ac:dyDescent="0.2">
      <c r="B771" s="9" t="s">
        <v>6017</v>
      </c>
      <c r="C771" s="15" t="s">
        <v>4775</v>
      </c>
      <c r="D771" s="12" t="str">
        <f>"0305-1978"</f>
        <v>0305-1978</v>
      </c>
      <c r="E771" s="5">
        <v>1.381</v>
      </c>
      <c r="F771" s="5">
        <v>0.19900000000000001</v>
      </c>
    </row>
    <row r="772" spans="2:6" x14ac:dyDescent="0.2">
      <c r="B772" s="9" t="s">
        <v>6020</v>
      </c>
      <c r="C772" s="15" t="s">
        <v>6020</v>
      </c>
      <c r="D772" s="12" t="str">
        <f>"0300-9084"</f>
        <v>0300-9084</v>
      </c>
      <c r="E772" s="5">
        <v>4.0789999999999997</v>
      </c>
      <c r="F772" s="5">
        <v>0.55700000000000005</v>
      </c>
    </row>
    <row r="773" spans="2:6" x14ac:dyDescent="0.2">
      <c r="B773" s="9" t="s">
        <v>1935</v>
      </c>
      <c r="C773" s="15" t="s">
        <v>1936</v>
      </c>
      <c r="D773" s="12" t="str">
        <f>"1976-0280"</f>
        <v>1976-0280</v>
      </c>
      <c r="E773" s="5">
        <v>3.4940000000000002</v>
      </c>
      <c r="F773" s="5">
        <v>0.67500000000000004</v>
      </c>
    </row>
    <row r="774" spans="2:6" x14ac:dyDescent="0.2">
      <c r="B774" s="9" t="s">
        <v>6021</v>
      </c>
      <c r="C774" s="15" t="s">
        <v>4778</v>
      </c>
      <c r="D774" s="12" t="str">
        <f>"1043-1802"</f>
        <v>1043-1802</v>
      </c>
      <c r="E774" s="5">
        <v>4.774</v>
      </c>
      <c r="F774" s="5">
        <v>0.85699999999999998</v>
      </c>
    </row>
    <row r="775" spans="2:6" x14ac:dyDescent="0.2">
      <c r="B775" s="9" t="s">
        <v>8436</v>
      </c>
      <c r="C775" s="15" t="s">
        <v>8437</v>
      </c>
      <c r="D775" s="12" t="str">
        <f>"1342-4815"</f>
        <v>1342-4815</v>
      </c>
      <c r="E775" s="5">
        <v>0.98199999999999998</v>
      </c>
      <c r="F775" s="5">
        <v>3.2000000000000001E-2</v>
      </c>
    </row>
    <row r="776" spans="2:6" x14ac:dyDescent="0.2">
      <c r="B776" s="9" t="s">
        <v>6022</v>
      </c>
      <c r="C776" s="15" t="s">
        <v>4779</v>
      </c>
      <c r="D776" s="12" t="str">
        <f>"0958-3157"</f>
        <v>0958-3157</v>
      </c>
      <c r="E776" s="5">
        <v>1.665</v>
      </c>
      <c r="F776" s="5">
        <v>0.52900000000000003</v>
      </c>
    </row>
    <row r="777" spans="2:6" x14ac:dyDescent="0.2">
      <c r="B777" s="9" t="s">
        <v>8438</v>
      </c>
      <c r="C777" s="15" t="s">
        <v>8439</v>
      </c>
      <c r="D777" s="12" t="str">
        <f>"0208-5216"</f>
        <v>0208-5216</v>
      </c>
      <c r="E777" s="5">
        <v>4.3140000000000001</v>
      </c>
      <c r="F777" s="5">
        <v>0.72399999999999998</v>
      </c>
    </row>
    <row r="778" spans="2:6" x14ac:dyDescent="0.2">
      <c r="B778" s="9" t="s">
        <v>6023</v>
      </c>
      <c r="C778" s="15" t="s">
        <v>6023</v>
      </c>
      <c r="D778" s="12" t="str">
        <f>"0923-9820"</f>
        <v>0923-9820</v>
      </c>
      <c r="E778" s="5">
        <v>3.9089999999999998</v>
      </c>
      <c r="F778" s="5">
        <v>0.627</v>
      </c>
    </row>
    <row r="779" spans="2:6" x14ac:dyDescent="0.2">
      <c r="B779" s="9" t="s">
        <v>8440</v>
      </c>
      <c r="C779" s="15" t="s">
        <v>8441</v>
      </c>
      <c r="D779" s="12" t="str">
        <f>"1948-5565"</f>
        <v>1948-5565</v>
      </c>
      <c r="E779" s="5">
        <v>0.71099999999999997</v>
      </c>
      <c r="F779" s="5">
        <v>0.14799999999999999</v>
      </c>
    </row>
    <row r="780" spans="2:6" x14ac:dyDescent="0.2">
      <c r="B780" s="9" t="s">
        <v>8442</v>
      </c>
      <c r="C780" s="15" t="s">
        <v>8443</v>
      </c>
      <c r="D780" s="12" t="str">
        <f>"2096-5524"</f>
        <v>2096-5524</v>
      </c>
      <c r="E780" s="5">
        <v>6.3019999999999996</v>
      </c>
      <c r="F780" s="5">
        <v>0.83899999999999997</v>
      </c>
    </row>
    <row r="781" spans="2:6" x14ac:dyDescent="0.2">
      <c r="B781" s="9" t="s">
        <v>6024</v>
      </c>
      <c r="C781" s="15" t="s">
        <v>6024</v>
      </c>
      <c r="D781" s="12" t="str">
        <f>"1173-8804"</f>
        <v>1173-8804</v>
      </c>
      <c r="E781" s="5">
        <v>5.8070000000000004</v>
      </c>
      <c r="F781" s="5">
        <v>0.85499999999999998</v>
      </c>
    </row>
    <row r="782" spans="2:6" x14ac:dyDescent="0.2">
      <c r="B782" s="9" t="s">
        <v>6025</v>
      </c>
      <c r="C782" s="15" t="s">
        <v>6025</v>
      </c>
      <c r="D782" s="12" t="str">
        <f>"1567-5394"</f>
        <v>1567-5394</v>
      </c>
      <c r="E782" s="5">
        <v>5.3730000000000002</v>
      </c>
      <c r="F782" s="5">
        <v>0.88700000000000001</v>
      </c>
    </row>
    <row r="783" spans="2:6" x14ac:dyDescent="0.2">
      <c r="B783" s="9" t="s">
        <v>6026</v>
      </c>
      <c r="C783" s="15" t="s">
        <v>6026</v>
      </c>
      <c r="D783" s="12" t="str">
        <f>"0197-8462"</f>
        <v>0197-8462</v>
      </c>
      <c r="E783" s="5">
        <v>2.0099999999999998</v>
      </c>
      <c r="F783" s="5">
        <v>0.45200000000000001</v>
      </c>
    </row>
    <row r="784" spans="2:6" x14ac:dyDescent="0.2">
      <c r="B784" s="9" t="s">
        <v>8444</v>
      </c>
      <c r="C784" s="15" t="s">
        <v>8445</v>
      </c>
      <c r="D784" s="12" t="str">
        <f>"2165-5979"</f>
        <v>2165-5979</v>
      </c>
      <c r="E784" s="5">
        <v>3.2690000000000001</v>
      </c>
      <c r="F784" s="5">
        <v>0.53200000000000003</v>
      </c>
    </row>
    <row r="785" spans="2:6" x14ac:dyDescent="0.2">
      <c r="B785" s="9" t="s">
        <v>8446</v>
      </c>
      <c r="C785" s="15" t="s">
        <v>8447</v>
      </c>
      <c r="D785" s="12" t="str">
        <f>"2380-6761"</f>
        <v>2380-6761</v>
      </c>
      <c r="E785" s="5">
        <v>10.711</v>
      </c>
      <c r="F785" s="5">
        <v>0.96599999999999997</v>
      </c>
    </row>
    <row r="786" spans="2:6" x14ac:dyDescent="0.2">
      <c r="B786" s="9" t="s">
        <v>6027</v>
      </c>
      <c r="C786" s="15" t="s">
        <v>6027</v>
      </c>
      <c r="D786" s="12" t="str">
        <f>"0265-9247"</f>
        <v>0265-9247</v>
      </c>
      <c r="E786" s="5">
        <v>4.3449999999999998</v>
      </c>
      <c r="F786" s="5">
        <v>0.77400000000000002</v>
      </c>
    </row>
    <row r="787" spans="2:6" x14ac:dyDescent="0.2">
      <c r="B787" s="9" t="s">
        <v>6028</v>
      </c>
      <c r="C787" s="15" t="s">
        <v>6028</v>
      </c>
      <c r="D787" s="12" t="str">
        <f>"0269-9702"</f>
        <v>0269-9702</v>
      </c>
      <c r="E787" s="5">
        <v>1.8979999999999999</v>
      </c>
      <c r="F787" s="5">
        <v>0.58899999999999997</v>
      </c>
    </row>
    <row r="788" spans="2:6" x14ac:dyDescent="0.2">
      <c r="B788" s="9" t="s">
        <v>8448</v>
      </c>
      <c r="C788" s="15" t="s">
        <v>8449</v>
      </c>
      <c r="D788" s="12" t="str">
        <f>"1758-5090"</f>
        <v>1758-5090</v>
      </c>
      <c r="E788" s="5">
        <v>9.9540000000000006</v>
      </c>
      <c r="F788" s="5">
        <v>0.94699999999999995</v>
      </c>
    </row>
    <row r="789" spans="2:6" x14ac:dyDescent="0.2">
      <c r="B789" s="9" t="s">
        <v>6029</v>
      </c>
      <c r="C789" s="15" t="s">
        <v>6029</v>
      </c>
      <c r="D789" s="12" t="str">
        <f>"0951-6433"</f>
        <v>0951-6433</v>
      </c>
      <c r="E789" s="5">
        <v>6.1130000000000004</v>
      </c>
      <c r="F789" s="5">
        <v>0.82799999999999996</v>
      </c>
    </row>
    <row r="790" spans="2:6" x14ac:dyDescent="0.2">
      <c r="B790" s="9" t="s">
        <v>6030</v>
      </c>
      <c r="C790" s="15" t="s">
        <v>6030</v>
      </c>
      <c r="D790" s="12" t="str">
        <f>"0892-7014"</f>
        <v>0892-7014</v>
      </c>
      <c r="E790" s="5">
        <v>3.2090000000000001</v>
      </c>
      <c r="F790" s="5">
        <v>0.85299999999999998</v>
      </c>
    </row>
    <row r="791" spans="2:6" x14ac:dyDescent="0.2">
      <c r="B791" s="9" t="s">
        <v>1937</v>
      </c>
      <c r="C791" s="15" t="s">
        <v>1938</v>
      </c>
      <c r="D791" s="12" t="str">
        <f>"1932-104X"</f>
        <v>1932-104X</v>
      </c>
      <c r="E791" s="5">
        <v>4.1020000000000003</v>
      </c>
      <c r="F791" s="5">
        <v>0.67100000000000004</v>
      </c>
    </row>
    <row r="792" spans="2:6" x14ac:dyDescent="0.2">
      <c r="B792" s="9" t="s">
        <v>6031</v>
      </c>
      <c r="C792" s="15" t="s">
        <v>6031</v>
      </c>
      <c r="D792" s="12" t="str">
        <f>"1389-5729"</f>
        <v>1389-5729</v>
      </c>
      <c r="E792" s="5">
        <v>4.2770000000000001</v>
      </c>
      <c r="F792" s="5">
        <v>0.66</v>
      </c>
    </row>
    <row r="793" spans="2:6" x14ac:dyDescent="0.2">
      <c r="B793" s="9" t="s">
        <v>8450</v>
      </c>
      <c r="C793" s="15" t="s">
        <v>8451</v>
      </c>
      <c r="D793" s="12" t="str">
        <f>"2228-5652"</f>
        <v>2228-5652</v>
      </c>
      <c r="E793" s="5">
        <v>3.831</v>
      </c>
      <c r="F793" s="5">
        <v>0.56399999999999995</v>
      </c>
    </row>
    <row r="794" spans="2:6" x14ac:dyDescent="0.2">
      <c r="B794" s="9" t="s">
        <v>6032</v>
      </c>
      <c r="C794" s="15" t="s">
        <v>6032</v>
      </c>
      <c r="D794" s="12" t="str">
        <f>"1367-4803"</f>
        <v>1367-4803</v>
      </c>
      <c r="E794" s="5">
        <v>6.9370000000000003</v>
      </c>
      <c r="F794" s="5">
        <v>0.96599999999999997</v>
      </c>
    </row>
    <row r="795" spans="2:6" x14ac:dyDescent="0.2">
      <c r="B795" s="9" t="s">
        <v>6033</v>
      </c>
      <c r="C795" s="15" t="s">
        <v>4780</v>
      </c>
      <c r="D795" s="12" t="str">
        <f>"1565-3633"</f>
        <v>1565-3633</v>
      </c>
      <c r="E795" s="5">
        <v>7.7779999999999996</v>
      </c>
      <c r="F795" s="5">
        <v>0.97799999999999998</v>
      </c>
    </row>
    <row r="796" spans="2:6" x14ac:dyDescent="0.2">
      <c r="B796" s="9" t="s">
        <v>8452</v>
      </c>
      <c r="C796" s="15" t="s">
        <v>8453</v>
      </c>
      <c r="D796" s="12" t="str">
        <f>"2045-9858"</f>
        <v>2045-9858</v>
      </c>
      <c r="E796" s="5">
        <v>1.2909999999999999</v>
      </c>
      <c r="F796" s="5">
        <v>9.1999999999999998E-2</v>
      </c>
    </row>
    <row r="797" spans="2:6" x14ac:dyDescent="0.2">
      <c r="B797" s="9" t="s">
        <v>1939</v>
      </c>
      <c r="C797" s="15" t="s">
        <v>8454</v>
      </c>
      <c r="D797" s="12" t="str">
        <f>"1934-8630"</f>
        <v>1934-8630</v>
      </c>
      <c r="E797" s="5">
        <v>2.456</v>
      </c>
      <c r="F797" s="5">
        <v>0.35199999999999998</v>
      </c>
    </row>
    <row r="798" spans="2:6" x14ac:dyDescent="0.2">
      <c r="B798" s="9" t="s">
        <v>6034</v>
      </c>
      <c r="C798" s="15" t="s">
        <v>4781</v>
      </c>
      <c r="D798" s="12" t="str">
        <f>"1083-8791"</f>
        <v>1083-8791</v>
      </c>
      <c r="E798" s="5">
        <v>5.742</v>
      </c>
      <c r="F798" s="5">
        <v>0.84</v>
      </c>
    </row>
    <row r="799" spans="2:6" x14ac:dyDescent="0.2">
      <c r="B799" s="9" t="s">
        <v>6035</v>
      </c>
      <c r="C799" s="15" t="s">
        <v>4782</v>
      </c>
      <c r="D799" s="12" t="str">
        <f>"1939-8697"</f>
        <v>1939-8697</v>
      </c>
      <c r="E799" s="5">
        <v>0.39200000000000002</v>
      </c>
      <c r="F799" s="5">
        <v>6.5000000000000002E-2</v>
      </c>
    </row>
    <row r="800" spans="2:6" x14ac:dyDescent="0.2">
      <c r="B800" s="9" t="s">
        <v>6036</v>
      </c>
      <c r="C800" s="15" t="s">
        <v>4783</v>
      </c>
      <c r="D800" s="12" t="str">
        <f>"0006-3185"</f>
        <v>0006-3185</v>
      </c>
      <c r="E800" s="5">
        <v>1.8180000000000001</v>
      </c>
      <c r="F800" s="5">
        <v>0.51400000000000001</v>
      </c>
    </row>
    <row r="801" spans="2:6" x14ac:dyDescent="0.2">
      <c r="B801" s="9" t="s">
        <v>6037</v>
      </c>
      <c r="C801" s="15" t="s">
        <v>4784</v>
      </c>
      <c r="D801" s="12" t="str">
        <f>"0248-4900"</f>
        <v>0248-4900</v>
      </c>
      <c r="E801" s="5">
        <v>4.4580000000000002</v>
      </c>
      <c r="F801" s="5">
        <v>0.49199999999999999</v>
      </c>
    </row>
    <row r="802" spans="2:6" x14ac:dyDescent="0.2">
      <c r="B802" s="9" t="s">
        <v>6038</v>
      </c>
      <c r="C802" s="15" t="s">
        <v>4785</v>
      </c>
      <c r="D802" s="12" t="str">
        <f>"1431-6730"</f>
        <v>1431-6730</v>
      </c>
      <c r="E802" s="5">
        <v>3.915</v>
      </c>
      <c r="F802" s="5">
        <v>0.51</v>
      </c>
    </row>
    <row r="803" spans="2:6" x14ac:dyDescent="0.2">
      <c r="B803" s="9" t="s">
        <v>6039</v>
      </c>
      <c r="C803" s="15" t="s">
        <v>4786</v>
      </c>
      <c r="D803" s="12" t="str">
        <f>"1049-9644"</f>
        <v>1049-9644</v>
      </c>
      <c r="E803" s="5">
        <v>3.6869999999999998</v>
      </c>
      <c r="F803" s="5">
        <v>0.91200000000000003</v>
      </c>
    </row>
    <row r="804" spans="2:6" x14ac:dyDescent="0.2">
      <c r="B804" s="9" t="s">
        <v>6040</v>
      </c>
      <c r="C804" s="15" t="s">
        <v>4787</v>
      </c>
      <c r="D804" s="12" t="str">
        <f>"0340-1200"</f>
        <v>0340-1200</v>
      </c>
      <c r="E804" s="5">
        <v>2.0859999999999999</v>
      </c>
      <c r="F804" s="5">
        <v>0.435</v>
      </c>
    </row>
    <row r="805" spans="2:6" x14ac:dyDescent="0.2">
      <c r="B805" s="9" t="s">
        <v>1940</v>
      </c>
      <c r="C805" s="15" t="s">
        <v>1941</v>
      </c>
      <c r="D805" s="12" t="str">
        <f>"1745-6150"</f>
        <v>1745-6150</v>
      </c>
      <c r="E805" s="5">
        <v>4.54</v>
      </c>
      <c r="F805" s="5">
        <v>0.79600000000000004</v>
      </c>
    </row>
    <row r="806" spans="2:6" x14ac:dyDescent="0.2">
      <c r="B806" s="9" t="s">
        <v>8455</v>
      </c>
      <c r="C806" s="15" t="s">
        <v>8456</v>
      </c>
      <c r="D806" s="12" t="str">
        <f>"2676-8615"</f>
        <v>2676-8615</v>
      </c>
      <c r="E806" s="5">
        <v>0.82099999999999995</v>
      </c>
      <c r="F806" s="5">
        <v>0.151</v>
      </c>
    </row>
    <row r="807" spans="2:6" x14ac:dyDescent="0.2">
      <c r="B807" s="9" t="s">
        <v>1942</v>
      </c>
      <c r="C807" s="15" t="s">
        <v>4788</v>
      </c>
      <c r="D807" s="12" t="str">
        <f>"1744-9561"</f>
        <v>1744-9561</v>
      </c>
      <c r="E807" s="5">
        <v>3.7029999999999998</v>
      </c>
      <c r="F807" s="5">
        <v>0.72899999999999998</v>
      </c>
    </row>
    <row r="808" spans="2:6" x14ac:dyDescent="0.2">
      <c r="B808" s="9" t="s">
        <v>6041</v>
      </c>
      <c r="C808" s="15" t="s">
        <v>4789</v>
      </c>
      <c r="D808" s="12" t="str">
        <f>"0233-4755"</f>
        <v>0233-4755</v>
      </c>
      <c r="E808" s="5">
        <v>0.14099999999999999</v>
      </c>
      <c r="F808" s="5">
        <v>0.01</v>
      </c>
    </row>
    <row r="809" spans="2:6" x14ac:dyDescent="0.2">
      <c r="B809" s="9" t="s">
        <v>6052</v>
      </c>
      <c r="C809" s="15" t="s">
        <v>6052</v>
      </c>
      <c r="D809" s="12" t="str">
        <f>"1336-9563"</f>
        <v>1336-9563</v>
      </c>
      <c r="E809" s="5">
        <v>1.35</v>
      </c>
      <c r="F809" s="5">
        <v>0.25800000000000001</v>
      </c>
    </row>
    <row r="810" spans="2:6" x14ac:dyDescent="0.2">
      <c r="B810" s="9" t="s">
        <v>6053</v>
      </c>
      <c r="C810" s="15" t="s">
        <v>6053</v>
      </c>
      <c r="D810" s="12" t="str">
        <f>"1045-1056"</f>
        <v>1045-1056</v>
      </c>
      <c r="E810" s="5">
        <v>1.8560000000000001</v>
      </c>
      <c r="F810" s="5">
        <v>0.17100000000000001</v>
      </c>
    </row>
    <row r="811" spans="2:6" x14ac:dyDescent="0.2">
      <c r="B811" s="9" t="s">
        <v>8457</v>
      </c>
      <c r="C811" s="15" t="s">
        <v>8457</v>
      </c>
      <c r="D811" s="12" t="str">
        <f>"2079-7737"</f>
        <v>2079-7737</v>
      </c>
      <c r="E811" s="5">
        <v>5.0789999999999997</v>
      </c>
      <c r="F811" s="5">
        <v>0.83899999999999997</v>
      </c>
    </row>
    <row r="812" spans="2:6" x14ac:dyDescent="0.2">
      <c r="B812" s="9" t="s">
        <v>8458</v>
      </c>
      <c r="C812" s="15" t="s">
        <v>8459</v>
      </c>
      <c r="D812" s="12" t="str">
        <f>"2046-6390"</f>
        <v>2046-6390</v>
      </c>
      <c r="E812" s="5">
        <v>2.4220000000000002</v>
      </c>
      <c r="F812" s="5">
        <v>0.51600000000000001</v>
      </c>
    </row>
    <row r="813" spans="2:6" x14ac:dyDescent="0.2">
      <c r="B813" s="9" t="s">
        <v>6042</v>
      </c>
      <c r="C813" s="15" t="s">
        <v>4790</v>
      </c>
      <c r="D813" s="12" t="str">
        <f>"0918-6158"</f>
        <v>0918-6158</v>
      </c>
      <c r="E813" s="5">
        <v>2.2330000000000001</v>
      </c>
      <c r="F813" s="5">
        <v>0.24</v>
      </c>
    </row>
    <row r="814" spans="2:6" x14ac:dyDescent="0.2">
      <c r="B814" s="9" t="s">
        <v>6043</v>
      </c>
      <c r="C814" s="15" t="s">
        <v>4791</v>
      </c>
      <c r="D814" s="12" t="str">
        <f>"0169-3867"</f>
        <v>0169-3867</v>
      </c>
      <c r="E814" s="5">
        <v>1.4610000000000001</v>
      </c>
      <c r="F814" s="5">
        <v>0.73</v>
      </c>
    </row>
    <row r="815" spans="2:6" x14ac:dyDescent="0.2">
      <c r="B815" s="9" t="s">
        <v>1943</v>
      </c>
      <c r="C815" s="15" t="s">
        <v>1944</v>
      </c>
      <c r="D815" s="12" t="str">
        <f>"1480-9222"</f>
        <v>1480-9222</v>
      </c>
      <c r="E815" s="5">
        <v>3.2440000000000002</v>
      </c>
      <c r="F815" s="5">
        <v>0.54500000000000004</v>
      </c>
    </row>
    <row r="816" spans="2:6" x14ac:dyDescent="0.2">
      <c r="B816" s="9" t="s">
        <v>6044</v>
      </c>
      <c r="C816" s="15" t="s">
        <v>4792</v>
      </c>
      <c r="D816" s="12" t="str">
        <f>"0006-3223"</f>
        <v>0006-3223</v>
      </c>
      <c r="E816" s="5">
        <v>13.382</v>
      </c>
      <c r="F816" s="5">
        <v>0.97199999999999998</v>
      </c>
    </row>
    <row r="817" spans="2:6" x14ac:dyDescent="0.2">
      <c r="B817" s="9" t="s">
        <v>8460</v>
      </c>
      <c r="C817" s="15" t="s">
        <v>8461</v>
      </c>
      <c r="D817" s="12" t="str">
        <f>"2451-9022"</f>
        <v>2451-9022</v>
      </c>
      <c r="E817" s="5">
        <v>6.2039999999999997</v>
      </c>
      <c r="F817" s="5">
        <v>0.82799999999999996</v>
      </c>
    </row>
    <row r="818" spans="2:6" x14ac:dyDescent="0.2">
      <c r="B818" s="9" t="s">
        <v>6045</v>
      </c>
      <c r="C818" s="15" t="s">
        <v>4793</v>
      </c>
      <c r="D818" s="12" t="str">
        <f>"0301-0511"</f>
        <v>0301-0511</v>
      </c>
      <c r="E818" s="5">
        <v>3.2509999999999999</v>
      </c>
      <c r="F818" s="5">
        <v>0.78600000000000003</v>
      </c>
    </row>
    <row r="819" spans="2:6" x14ac:dyDescent="0.2">
      <c r="B819" s="9" t="s">
        <v>6046</v>
      </c>
      <c r="C819" s="15" t="s">
        <v>4794</v>
      </c>
      <c r="D819" s="12" t="str">
        <f>"0006-3363"</f>
        <v>0006-3363</v>
      </c>
      <c r="E819" s="5">
        <v>4.2850000000000001</v>
      </c>
      <c r="F819" s="5">
        <v>0.86699999999999999</v>
      </c>
    </row>
    <row r="820" spans="2:6" x14ac:dyDescent="0.2">
      <c r="B820" s="9" t="s">
        <v>6047</v>
      </c>
      <c r="C820" s="15" t="s">
        <v>4795</v>
      </c>
      <c r="D820" s="12" t="str">
        <f>"0717-6287"</f>
        <v>0717-6287</v>
      </c>
      <c r="E820" s="5">
        <v>5.6120000000000001</v>
      </c>
      <c r="F820" s="5">
        <v>0.89200000000000002</v>
      </c>
    </row>
    <row r="821" spans="2:6" x14ac:dyDescent="0.2">
      <c r="B821" s="9" t="s">
        <v>1945</v>
      </c>
      <c r="C821" s="15" t="s">
        <v>1946</v>
      </c>
      <c r="D821" s="12" t="str">
        <f>"1099-8004"</f>
        <v>1099-8004</v>
      </c>
      <c r="E821" s="5">
        <v>2.5219999999999998</v>
      </c>
      <c r="F821" s="5">
        <v>0.82499999999999996</v>
      </c>
    </row>
    <row r="822" spans="2:6" x14ac:dyDescent="0.2">
      <c r="B822" s="9" t="s">
        <v>6048</v>
      </c>
      <c r="C822" s="15" t="s">
        <v>4796</v>
      </c>
      <c r="D822" s="12" t="str">
        <f>"1464-7931"</f>
        <v>1464-7931</v>
      </c>
      <c r="E822" s="5">
        <v>12.82</v>
      </c>
      <c r="F822" s="5">
        <v>1</v>
      </c>
    </row>
    <row r="823" spans="2:6" x14ac:dyDescent="0.2">
      <c r="B823" s="9" t="s">
        <v>6049</v>
      </c>
      <c r="C823" s="15" t="s">
        <v>4797</v>
      </c>
      <c r="D823" s="12" t="str">
        <f>"0929-1016"</f>
        <v>0929-1016</v>
      </c>
      <c r="E823" s="5">
        <v>1.2190000000000001</v>
      </c>
      <c r="F823" s="5">
        <v>0.215</v>
      </c>
    </row>
    <row r="824" spans="2:6" x14ac:dyDescent="0.2">
      <c r="B824" s="9" t="s">
        <v>8462</v>
      </c>
      <c r="C824" s="15" t="s">
        <v>8463</v>
      </c>
      <c r="D824" s="12" t="str">
        <f>"2042-6410"</f>
        <v>2042-6410</v>
      </c>
      <c r="E824" s="5">
        <v>5.0270000000000001</v>
      </c>
      <c r="F824" s="5">
        <v>0.78900000000000003</v>
      </c>
    </row>
    <row r="825" spans="2:6" x14ac:dyDescent="0.2">
      <c r="B825" s="9" t="s">
        <v>6050</v>
      </c>
      <c r="C825" s="15" t="s">
        <v>4798</v>
      </c>
      <c r="D825" s="12" t="str">
        <f>"0860-021X"</f>
        <v>0860-021X</v>
      </c>
      <c r="E825" s="5">
        <v>2.806</v>
      </c>
      <c r="F825" s="5">
        <v>0.51100000000000001</v>
      </c>
    </row>
    <row r="826" spans="2:6" x14ac:dyDescent="0.2">
      <c r="B826" s="9" t="s">
        <v>6051</v>
      </c>
      <c r="C826" s="15" t="s">
        <v>4799</v>
      </c>
      <c r="D826" s="12" t="str">
        <f>"0163-4984"</f>
        <v>0163-4984</v>
      </c>
      <c r="E826" s="5">
        <v>3.738</v>
      </c>
      <c r="F826" s="5">
        <v>0.46300000000000002</v>
      </c>
    </row>
    <row r="827" spans="2:6" x14ac:dyDescent="0.2">
      <c r="B827" s="9" t="s">
        <v>6054</v>
      </c>
      <c r="C827" s="15" t="s">
        <v>6054</v>
      </c>
      <c r="D827" s="12" t="str">
        <f>"1525-7797"</f>
        <v>1525-7797</v>
      </c>
      <c r="E827" s="5">
        <v>6.9880000000000004</v>
      </c>
      <c r="F827" s="5">
        <v>0.95399999999999996</v>
      </c>
    </row>
    <row r="828" spans="2:6" x14ac:dyDescent="0.2">
      <c r="B828" s="9" t="s">
        <v>6055</v>
      </c>
      <c r="C828" s="15" t="s">
        <v>6055</v>
      </c>
      <c r="D828" s="12" t="str">
        <f>"1366-5804"</f>
        <v>1366-5804</v>
      </c>
      <c r="E828" s="5">
        <v>2.6579999999999999</v>
      </c>
      <c r="F828" s="5">
        <v>0.36099999999999999</v>
      </c>
    </row>
    <row r="829" spans="2:6" x14ac:dyDescent="0.2">
      <c r="B829" s="9" t="s">
        <v>1947</v>
      </c>
      <c r="C829" s="15" t="s">
        <v>1948</v>
      </c>
      <c r="D829" s="12" t="str">
        <f>"1752-0371"</f>
        <v>1752-0371</v>
      </c>
      <c r="E829" s="5">
        <v>2.851</v>
      </c>
      <c r="F829" s="5">
        <v>0.35</v>
      </c>
    </row>
    <row r="830" spans="2:6" x14ac:dyDescent="0.2">
      <c r="B830" s="9" t="s">
        <v>8464</v>
      </c>
      <c r="C830" s="15" t="s">
        <v>8465</v>
      </c>
      <c r="D830" s="12" t="str">
        <f>"2050-7771"</f>
        <v>2050-7771</v>
      </c>
      <c r="E830" s="5">
        <v>6.1479999999999997</v>
      </c>
      <c r="F830" s="5">
        <v>0.79300000000000004</v>
      </c>
    </row>
    <row r="831" spans="2:6" x14ac:dyDescent="0.2">
      <c r="B831" s="9" t="s">
        <v>6056</v>
      </c>
      <c r="C831" s="15" t="s">
        <v>4800</v>
      </c>
      <c r="D831" s="12" t="str">
        <f>"0961-9534"</f>
        <v>0961-9534</v>
      </c>
      <c r="E831" s="5">
        <v>5.0609999999999999</v>
      </c>
      <c r="F831" s="5">
        <v>0.85699999999999998</v>
      </c>
    </row>
    <row r="832" spans="2:6" x14ac:dyDescent="0.2">
      <c r="B832" s="9" t="s">
        <v>6057</v>
      </c>
      <c r="C832" s="15" t="s">
        <v>6057</v>
      </c>
      <c r="D832" s="12" t="str">
        <f>"0142-9612"</f>
        <v>0142-9612</v>
      </c>
      <c r="E832" s="5">
        <v>12.478999999999999</v>
      </c>
      <c r="F832" s="5">
        <v>0.97699999999999998</v>
      </c>
    </row>
    <row r="833" spans="2:6" x14ac:dyDescent="0.2">
      <c r="B833" s="9" t="s">
        <v>1949</v>
      </c>
      <c r="C833" s="15" t="s">
        <v>1950</v>
      </c>
      <c r="D833" s="12" t="str">
        <f>"1617-7940"</f>
        <v>1617-7940</v>
      </c>
      <c r="E833" s="5">
        <v>2.9630000000000001</v>
      </c>
      <c r="F833" s="5">
        <v>0.50700000000000001</v>
      </c>
    </row>
    <row r="834" spans="2:6" x14ac:dyDescent="0.2">
      <c r="B834" s="9" t="s">
        <v>6058</v>
      </c>
      <c r="C834" s="15" t="s">
        <v>4801</v>
      </c>
      <c r="D834" s="12" t="str">
        <f>"0269-3879"</f>
        <v>0269-3879</v>
      </c>
      <c r="E834" s="5">
        <v>1.9019999999999999</v>
      </c>
      <c r="F834" s="5">
        <v>0.20499999999999999</v>
      </c>
    </row>
    <row r="835" spans="2:6" x14ac:dyDescent="0.2">
      <c r="B835" s="9" t="s">
        <v>8466</v>
      </c>
      <c r="C835" s="15" t="s">
        <v>8467</v>
      </c>
      <c r="D835" s="12" t="str">
        <f>"0013-5585"</f>
        <v>0013-5585</v>
      </c>
      <c r="E835" s="5">
        <v>1.411</v>
      </c>
      <c r="F835" s="5">
        <v>0.115</v>
      </c>
    </row>
    <row r="836" spans="2:6" x14ac:dyDescent="0.2">
      <c r="B836" s="9" t="s">
        <v>1951</v>
      </c>
      <c r="C836" s="15" t="s">
        <v>1952</v>
      </c>
      <c r="D836" s="12" t="str">
        <f>"1475-925X"</f>
        <v>1475-925X</v>
      </c>
      <c r="E836" s="5">
        <v>2.819</v>
      </c>
      <c r="F836" s="5">
        <v>0.40200000000000002</v>
      </c>
    </row>
    <row r="837" spans="2:6" x14ac:dyDescent="0.2">
      <c r="B837" s="9" t="s">
        <v>6059</v>
      </c>
      <c r="C837" s="15" t="s">
        <v>4802</v>
      </c>
      <c r="D837" s="12" t="str">
        <f>"0895-3988"</f>
        <v>0895-3988</v>
      </c>
      <c r="E837" s="5">
        <v>3.1179999999999999</v>
      </c>
      <c r="F837" s="5">
        <v>0.67600000000000005</v>
      </c>
    </row>
    <row r="838" spans="2:6" x14ac:dyDescent="0.2">
      <c r="B838" s="9" t="s">
        <v>1957</v>
      </c>
      <c r="C838" s="15" t="s">
        <v>8468</v>
      </c>
      <c r="D838" s="12" t="str">
        <f>"2590-7379"</f>
        <v>2590-7379</v>
      </c>
      <c r="E838" s="5">
        <v>0.93500000000000005</v>
      </c>
      <c r="F838" s="5">
        <v>0.217</v>
      </c>
    </row>
    <row r="839" spans="2:6" x14ac:dyDescent="0.2">
      <c r="B839" s="9" t="s">
        <v>8469</v>
      </c>
      <c r="C839" s="15" t="s">
        <v>8470</v>
      </c>
      <c r="D839" s="12" t="str">
        <f>"2227-9059"</f>
        <v>2227-9059</v>
      </c>
      <c r="E839" s="5">
        <v>6.0810000000000004</v>
      </c>
      <c r="F839" s="5">
        <v>0.88400000000000001</v>
      </c>
    </row>
    <row r="840" spans="2:6" x14ac:dyDescent="0.2">
      <c r="B840" s="9" t="s">
        <v>8471</v>
      </c>
      <c r="C840" s="15" t="s">
        <v>8472</v>
      </c>
      <c r="D840" s="12" t="str">
        <f>"2319-4170"</f>
        <v>2319-4170</v>
      </c>
      <c r="E840" s="5">
        <v>4.91</v>
      </c>
      <c r="F840" s="5">
        <v>0.68200000000000005</v>
      </c>
    </row>
    <row r="841" spans="2:6" x14ac:dyDescent="0.2">
      <c r="B841" s="9" t="s">
        <v>1953</v>
      </c>
      <c r="C841" s="15" t="s">
        <v>1954</v>
      </c>
      <c r="D841" s="12" t="str">
        <f>"1748-6041"</f>
        <v>1748-6041</v>
      </c>
      <c r="E841" s="5">
        <v>3.7149999999999999</v>
      </c>
      <c r="F841" s="5">
        <v>0.58599999999999997</v>
      </c>
    </row>
    <row r="842" spans="2:6" x14ac:dyDescent="0.2">
      <c r="B842" s="9" t="s">
        <v>6060</v>
      </c>
      <c r="C842" s="15" t="s">
        <v>4803</v>
      </c>
      <c r="D842" s="12" t="str">
        <f>"1878-3619"</f>
        <v>1878-3619</v>
      </c>
      <c r="E842" s="5">
        <v>1.3</v>
      </c>
      <c r="F842" s="5">
        <v>0.10299999999999999</v>
      </c>
    </row>
    <row r="843" spans="2:6" x14ac:dyDescent="0.2">
      <c r="B843" s="9" t="s">
        <v>6061</v>
      </c>
      <c r="C843" s="15" t="s">
        <v>4804</v>
      </c>
      <c r="D843" s="12" t="str">
        <f>"1387-2176"</f>
        <v>1387-2176</v>
      </c>
      <c r="E843" s="5">
        <v>2.8380000000000001</v>
      </c>
      <c r="F843" s="5">
        <v>0.437</v>
      </c>
    </row>
    <row r="844" spans="2:6" x14ac:dyDescent="0.2">
      <c r="B844" s="9" t="s">
        <v>8473</v>
      </c>
      <c r="C844" s="15" t="s">
        <v>8474</v>
      </c>
      <c r="D844" s="12" t="str">
        <f>"2156-7085"</f>
        <v>2156-7085</v>
      </c>
      <c r="E844" s="5">
        <v>3.7320000000000002</v>
      </c>
      <c r="F844" s="5">
        <v>0.77800000000000002</v>
      </c>
    </row>
    <row r="845" spans="2:6" x14ac:dyDescent="0.2">
      <c r="B845" s="9" t="s">
        <v>8475</v>
      </c>
      <c r="C845" s="15" t="s">
        <v>8476</v>
      </c>
      <c r="D845" s="12" t="str">
        <f>"1213-8118"</f>
        <v>1213-8118</v>
      </c>
      <c r="E845" s="5">
        <v>1.2450000000000001</v>
      </c>
      <c r="F845" s="5">
        <v>0.107</v>
      </c>
    </row>
    <row r="846" spans="2:6" x14ac:dyDescent="0.2">
      <c r="B846" s="9" t="s">
        <v>6062</v>
      </c>
      <c r="C846" s="15" t="s">
        <v>4805</v>
      </c>
      <c r="D846" s="12" t="str">
        <f>"1950-6007"</f>
        <v>1950-6007</v>
      </c>
      <c r="E846" s="5">
        <v>6.5289999999999999</v>
      </c>
      <c r="F846" s="5">
        <v>0.91300000000000003</v>
      </c>
    </row>
    <row r="847" spans="2:6" x14ac:dyDescent="0.2">
      <c r="B847" s="9" t="s">
        <v>8477</v>
      </c>
      <c r="C847" s="15" t="s">
        <v>8478</v>
      </c>
      <c r="D847" s="12" t="str">
        <f>"2314-6133"</f>
        <v>2314-6133</v>
      </c>
      <c r="E847" s="5">
        <v>3.411</v>
      </c>
      <c r="F847" s="5">
        <v>0.56999999999999995</v>
      </c>
    </row>
    <row r="848" spans="2:6" x14ac:dyDescent="0.2">
      <c r="B848" s="9" t="s">
        <v>6063</v>
      </c>
      <c r="C848" s="15" t="s">
        <v>4806</v>
      </c>
      <c r="D848" s="12" t="str">
        <f>"0388-6107"</f>
        <v>0388-6107</v>
      </c>
      <c r="E848" s="5">
        <v>1.2030000000000001</v>
      </c>
      <c r="F848" s="5">
        <v>0.1</v>
      </c>
    </row>
    <row r="849" spans="2:6" x14ac:dyDescent="0.2">
      <c r="B849" s="9" t="s">
        <v>1955</v>
      </c>
      <c r="C849" s="15" t="s">
        <v>1956</v>
      </c>
      <c r="D849" s="12" t="str">
        <f>"1746-8094"</f>
        <v>1746-8094</v>
      </c>
      <c r="E849" s="5">
        <v>3.88</v>
      </c>
      <c r="F849" s="5">
        <v>0.63200000000000001</v>
      </c>
    </row>
    <row r="850" spans="2:6" x14ac:dyDescent="0.2">
      <c r="B850" s="9" t="s">
        <v>6064</v>
      </c>
      <c r="C850" s="15" t="s">
        <v>6064</v>
      </c>
      <c r="D850" s="12" t="str">
        <f>"0966-0844"</f>
        <v>0966-0844</v>
      </c>
      <c r="E850" s="5">
        <v>2.9489999999999998</v>
      </c>
      <c r="F850" s="5">
        <v>0.32400000000000001</v>
      </c>
    </row>
    <row r="851" spans="2:6" x14ac:dyDescent="0.2">
      <c r="B851" s="9" t="s">
        <v>6065</v>
      </c>
      <c r="C851" s="15" t="s">
        <v>4807</v>
      </c>
      <c r="D851" s="12" t="str">
        <f>"0323-3847"</f>
        <v>0323-3847</v>
      </c>
      <c r="E851" s="5">
        <v>2.2069999999999999</v>
      </c>
      <c r="F851" s="5">
        <v>0.69599999999999995</v>
      </c>
    </row>
    <row r="852" spans="2:6" x14ac:dyDescent="0.2">
      <c r="B852" s="9" t="s">
        <v>6066</v>
      </c>
      <c r="C852" s="15" t="s">
        <v>6066</v>
      </c>
      <c r="D852" s="12" t="str">
        <f>"1541-0420"</f>
        <v>1541-0420</v>
      </c>
      <c r="E852" s="5">
        <v>2.5710000000000002</v>
      </c>
      <c r="F852" s="5">
        <v>0.8</v>
      </c>
    </row>
    <row r="853" spans="2:6" x14ac:dyDescent="0.2">
      <c r="B853" s="9" t="s">
        <v>6067</v>
      </c>
      <c r="C853" s="15" t="s">
        <v>6067</v>
      </c>
      <c r="D853" s="12" t="str">
        <f>"0006-3444"</f>
        <v>0006-3444</v>
      </c>
      <c r="E853" s="5">
        <v>2.4449999999999998</v>
      </c>
      <c r="F853" s="5">
        <v>0.752</v>
      </c>
    </row>
    <row r="854" spans="2:6" x14ac:dyDescent="0.2">
      <c r="B854" s="9" t="s">
        <v>1958</v>
      </c>
      <c r="C854" s="15" t="s">
        <v>1959</v>
      </c>
      <c r="D854" s="12" t="str">
        <f>"1932-1058"</f>
        <v>1932-1058</v>
      </c>
      <c r="E854" s="5">
        <v>2.8</v>
      </c>
      <c r="F854" s="5">
        <v>0.73499999999999999</v>
      </c>
    </row>
    <row r="855" spans="2:6" x14ac:dyDescent="0.2">
      <c r="B855" s="9" t="s">
        <v>8479</v>
      </c>
      <c r="C855" s="15" t="s">
        <v>8480</v>
      </c>
      <c r="D855" s="12" t="str">
        <f>"2218-273X"</f>
        <v>2218-273X</v>
      </c>
      <c r="E855" s="5">
        <v>4.8789999999999996</v>
      </c>
      <c r="F855" s="5">
        <v>0.67900000000000005</v>
      </c>
    </row>
    <row r="856" spans="2:6" x14ac:dyDescent="0.2">
      <c r="B856" s="9" t="s">
        <v>1960</v>
      </c>
      <c r="C856" s="15" t="s">
        <v>1961</v>
      </c>
      <c r="D856" s="12" t="str">
        <f>"1874-2718"</f>
        <v>1874-2718</v>
      </c>
      <c r="E856" s="5">
        <v>0.746</v>
      </c>
      <c r="F856" s="5">
        <v>0.16300000000000001</v>
      </c>
    </row>
    <row r="857" spans="2:6" x14ac:dyDescent="0.2">
      <c r="B857" s="9" t="s">
        <v>1962</v>
      </c>
      <c r="C857" s="15" t="s">
        <v>1963</v>
      </c>
      <c r="D857" s="12" t="str">
        <f>"1976-9148"</f>
        <v>1976-9148</v>
      </c>
      <c r="E857" s="5">
        <v>4.6340000000000003</v>
      </c>
      <c r="F857" s="5">
        <v>0.72399999999999998</v>
      </c>
    </row>
    <row r="858" spans="2:6" x14ac:dyDescent="0.2">
      <c r="B858" s="9" t="s">
        <v>6070</v>
      </c>
      <c r="C858" s="15" t="s">
        <v>4810</v>
      </c>
      <c r="D858" s="12" t="str">
        <f>"0968-0896"</f>
        <v>0968-0896</v>
      </c>
      <c r="E858" s="5">
        <v>3.641</v>
      </c>
      <c r="F858" s="5">
        <v>0.71899999999999997</v>
      </c>
    </row>
    <row r="859" spans="2:6" x14ac:dyDescent="0.2">
      <c r="B859" s="9" t="s">
        <v>6068</v>
      </c>
      <c r="C859" s="15" t="s">
        <v>4808</v>
      </c>
      <c r="D859" s="12" t="str">
        <f>"1090-2120"</f>
        <v>1090-2120</v>
      </c>
      <c r="E859" s="5">
        <v>5.2750000000000004</v>
      </c>
      <c r="F859" s="5">
        <v>0.86</v>
      </c>
    </row>
    <row r="860" spans="2:6" x14ac:dyDescent="0.2">
      <c r="B860" s="9" t="s">
        <v>6069</v>
      </c>
      <c r="C860" s="15" t="s">
        <v>4809</v>
      </c>
      <c r="D860" s="12" t="str">
        <f>"0960-894X"</f>
        <v>0960-894X</v>
      </c>
      <c r="E860" s="5">
        <v>2.823</v>
      </c>
      <c r="F860" s="5">
        <v>0.57899999999999996</v>
      </c>
    </row>
    <row r="861" spans="2:6" x14ac:dyDescent="0.2">
      <c r="B861" s="9" t="s">
        <v>6071</v>
      </c>
      <c r="C861" s="15" t="s">
        <v>4811</v>
      </c>
      <c r="D861" s="12" t="str">
        <f>"0142-2782"</f>
        <v>0142-2782</v>
      </c>
      <c r="E861" s="5">
        <v>1.627</v>
      </c>
      <c r="F861" s="5">
        <v>0.11600000000000001</v>
      </c>
    </row>
    <row r="862" spans="2:6" x14ac:dyDescent="0.2">
      <c r="B862" s="9" t="s">
        <v>6072</v>
      </c>
      <c r="C862" s="15" t="s">
        <v>4812</v>
      </c>
      <c r="D862" s="12" t="str">
        <f>"1542-166X"</f>
        <v>1542-166X</v>
      </c>
      <c r="E862" s="5">
        <v>7.5999999999999998E-2</v>
      </c>
      <c r="F862" s="5">
        <v>6.0000000000000001E-3</v>
      </c>
    </row>
    <row r="863" spans="2:6" x14ac:dyDescent="0.2">
      <c r="B863" s="9" t="s">
        <v>6073</v>
      </c>
      <c r="C863" s="15" t="s">
        <v>4813</v>
      </c>
      <c r="D863" s="12" t="str">
        <f>"0301-4622"</f>
        <v>0301-4622</v>
      </c>
      <c r="E863" s="5">
        <v>2.3519999999999999</v>
      </c>
      <c r="F863" s="5">
        <v>0.32400000000000001</v>
      </c>
    </row>
    <row r="864" spans="2:6" x14ac:dyDescent="0.2">
      <c r="B864" s="9" t="s">
        <v>6074</v>
      </c>
      <c r="C864" s="15" t="s">
        <v>4814</v>
      </c>
      <c r="D864" s="12" t="str">
        <f>"0006-3495"</f>
        <v>0006-3495</v>
      </c>
      <c r="E864" s="5">
        <v>4.0330000000000004</v>
      </c>
      <c r="F864" s="5">
        <v>0.746</v>
      </c>
    </row>
    <row r="865" spans="2:6" x14ac:dyDescent="0.2">
      <c r="B865" s="9" t="s">
        <v>6075</v>
      </c>
      <c r="C865" s="15" t="s">
        <v>6075</v>
      </c>
      <c r="D865" s="12" t="str">
        <f>"0006-3525"</f>
        <v>0006-3525</v>
      </c>
      <c r="E865" s="5">
        <v>2.5049999999999999</v>
      </c>
      <c r="F865" s="5">
        <v>0.36599999999999999</v>
      </c>
    </row>
    <row r="866" spans="2:6" x14ac:dyDescent="0.2">
      <c r="B866" s="9" t="s">
        <v>8481</v>
      </c>
      <c r="C866" s="15" t="s">
        <v>8482</v>
      </c>
      <c r="D866" s="12" t="str">
        <f>"1947-5543"</f>
        <v>1947-5543</v>
      </c>
      <c r="E866" s="5">
        <v>2.2999999999999998</v>
      </c>
      <c r="F866" s="5">
        <v>0.44800000000000001</v>
      </c>
    </row>
    <row r="867" spans="2:6" x14ac:dyDescent="0.2">
      <c r="B867" s="9" t="s">
        <v>6076</v>
      </c>
      <c r="C867" s="15" t="s">
        <v>4815</v>
      </c>
      <c r="D867" s="12" t="str">
        <f>"1615-7591"</f>
        <v>1615-7591</v>
      </c>
      <c r="E867" s="5">
        <v>3.21</v>
      </c>
      <c r="F867" s="5">
        <v>0.57999999999999996</v>
      </c>
    </row>
    <row r="868" spans="2:6" x14ac:dyDescent="0.2">
      <c r="B868" s="9" t="s">
        <v>8483</v>
      </c>
      <c r="C868" s="15" t="s">
        <v>8484</v>
      </c>
      <c r="D868" s="12" t="str">
        <f>"1751-0759"</f>
        <v>1751-0759</v>
      </c>
      <c r="E868" s="5">
        <v>2.3730000000000002</v>
      </c>
      <c r="F868" s="5">
        <v>0.57599999999999996</v>
      </c>
    </row>
    <row r="869" spans="2:6" x14ac:dyDescent="0.2">
      <c r="B869" s="9" t="s">
        <v>8485</v>
      </c>
      <c r="C869" s="15" t="s">
        <v>8486</v>
      </c>
      <c r="D869" s="12" t="str">
        <f>"2197-4365"</f>
        <v>2197-4365</v>
      </c>
      <c r="E869" s="5">
        <v>4.5780000000000003</v>
      </c>
      <c r="F869" s="5">
        <v>0.74099999999999999</v>
      </c>
    </row>
    <row r="870" spans="2:6" x14ac:dyDescent="0.2">
      <c r="B870" s="9" t="s">
        <v>6077</v>
      </c>
      <c r="C870" s="15" t="s">
        <v>4816</v>
      </c>
      <c r="D870" s="12" t="str">
        <f>"0960-8524"</f>
        <v>0960-8524</v>
      </c>
      <c r="E870" s="5">
        <v>9.6419999999999995</v>
      </c>
      <c r="F870" s="5">
        <v>1</v>
      </c>
    </row>
    <row r="871" spans="2:6" x14ac:dyDescent="0.2">
      <c r="B871" s="9" t="s">
        <v>6078</v>
      </c>
      <c r="C871" s="15" t="s">
        <v>6078</v>
      </c>
      <c r="D871" s="12" t="str">
        <f>"1878-5034"</f>
        <v>1878-5034</v>
      </c>
      <c r="E871" s="5">
        <v>1.875</v>
      </c>
      <c r="F871" s="5">
        <v>0.253</v>
      </c>
    </row>
    <row r="872" spans="2:6" x14ac:dyDescent="0.2">
      <c r="B872" s="9" t="s">
        <v>6079</v>
      </c>
      <c r="C872" s="15" t="s">
        <v>4817</v>
      </c>
      <c r="D872" s="12" t="str">
        <f>"0916-8451"</f>
        <v>0916-8451</v>
      </c>
      <c r="E872" s="5">
        <v>2.0430000000000001</v>
      </c>
      <c r="F872" s="5">
        <v>0.47299999999999998</v>
      </c>
    </row>
    <row r="873" spans="2:6" x14ac:dyDescent="0.2">
      <c r="B873" s="9" t="s">
        <v>6080</v>
      </c>
      <c r="C873" s="15" t="s">
        <v>6080</v>
      </c>
      <c r="D873" s="12" t="str">
        <f>"0006-3568"</f>
        <v>0006-3568</v>
      </c>
      <c r="E873" s="5">
        <v>8.5890000000000004</v>
      </c>
      <c r="F873" s="5">
        <v>0.96799999999999997</v>
      </c>
    </row>
    <row r="874" spans="2:6" x14ac:dyDescent="0.2">
      <c r="B874" s="9" t="s">
        <v>6081</v>
      </c>
      <c r="C874" s="15" t="s">
        <v>4818</v>
      </c>
      <c r="D874" s="12" t="str">
        <f>"1573-4935"</f>
        <v>1573-4935</v>
      </c>
      <c r="E874" s="5">
        <v>3.84</v>
      </c>
      <c r="F874" s="5">
        <v>0.48599999999999999</v>
      </c>
    </row>
    <row r="875" spans="2:6" x14ac:dyDescent="0.2">
      <c r="B875" s="9" t="s">
        <v>8487</v>
      </c>
      <c r="C875" s="15" t="s">
        <v>8488</v>
      </c>
      <c r="D875" s="12" t="str">
        <f>"1981-3163"</f>
        <v>1981-3163</v>
      </c>
      <c r="E875" s="5">
        <v>0.34699999999999998</v>
      </c>
      <c r="F875" s="5">
        <v>8.7999999999999995E-2</v>
      </c>
    </row>
    <row r="876" spans="2:6" x14ac:dyDescent="0.2">
      <c r="B876" s="9" t="s">
        <v>8489</v>
      </c>
      <c r="C876" s="15" t="s">
        <v>8490</v>
      </c>
      <c r="D876" s="12" t="str">
        <f>"2186-6953"</f>
        <v>2186-6953</v>
      </c>
      <c r="E876" s="5">
        <v>3.121</v>
      </c>
      <c r="F876" s="5">
        <v>0.38600000000000001</v>
      </c>
    </row>
    <row r="877" spans="2:6" x14ac:dyDescent="0.2">
      <c r="B877" s="9" t="s">
        <v>8491</v>
      </c>
      <c r="C877" s="15" t="s">
        <v>8492</v>
      </c>
      <c r="D877" s="12" t="str">
        <f>"1881-7815"</f>
        <v>1881-7815</v>
      </c>
      <c r="E877" s="5">
        <v>2.4</v>
      </c>
      <c r="F877" s="5">
        <v>0.495</v>
      </c>
    </row>
    <row r="878" spans="2:6" x14ac:dyDescent="0.2">
      <c r="B878" s="9" t="s">
        <v>8493</v>
      </c>
      <c r="C878" s="15" t="s">
        <v>8494</v>
      </c>
      <c r="D878" s="12" t="str">
        <f>"1875-1342"</f>
        <v>1875-1342</v>
      </c>
      <c r="E878" s="5">
        <v>0.71099999999999997</v>
      </c>
      <c r="F878" s="5">
        <v>0.36499999999999999</v>
      </c>
    </row>
    <row r="879" spans="2:6" x14ac:dyDescent="0.2">
      <c r="B879" s="9" t="s">
        <v>6082</v>
      </c>
      <c r="C879" s="15" t="s">
        <v>4819</v>
      </c>
      <c r="D879" s="12" t="str">
        <f>"0956-5663"</f>
        <v>0956-5663</v>
      </c>
      <c r="E879" s="5">
        <v>10.618</v>
      </c>
      <c r="F879" s="5">
        <v>0.97599999999999998</v>
      </c>
    </row>
    <row r="880" spans="2:6" x14ac:dyDescent="0.2">
      <c r="B880" s="9" t="s">
        <v>8495</v>
      </c>
      <c r="C880" s="15" t="s">
        <v>8495</v>
      </c>
      <c r="D880" s="12" t="str">
        <f>"2079-6374"</f>
        <v>2079-6374</v>
      </c>
      <c r="E880" s="5">
        <v>5.5190000000000001</v>
      </c>
      <c r="F880" s="5">
        <v>0.89100000000000001</v>
      </c>
    </row>
    <row r="881" spans="2:6" x14ac:dyDescent="0.2">
      <c r="B881" s="9" t="s">
        <v>8496</v>
      </c>
      <c r="C881" s="15" t="s">
        <v>8497</v>
      </c>
      <c r="D881" s="12" t="str">
        <f>"1745-8560"</f>
        <v>1745-8560</v>
      </c>
      <c r="E881" s="5">
        <v>2.351</v>
      </c>
      <c r="F881" s="5">
        <v>0.56799999999999995</v>
      </c>
    </row>
    <row r="882" spans="2:6" x14ac:dyDescent="0.2">
      <c r="B882" s="9" t="s">
        <v>6083</v>
      </c>
      <c r="C882" s="15" t="s">
        <v>6083</v>
      </c>
      <c r="D882" s="12" t="str">
        <f>"1465-4644"</f>
        <v>1465-4644</v>
      </c>
      <c r="E882" s="5">
        <v>5.899</v>
      </c>
      <c r="F882" s="5">
        <v>0.96799999999999997</v>
      </c>
    </row>
    <row r="883" spans="2:6" x14ac:dyDescent="0.2">
      <c r="B883" s="9" t="s">
        <v>6084</v>
      </c>
      <c r="C883" s="15" t="s">
        <v>6084</v>
      </c>
      <c r="D883" s="12" t="str">
        <f>"0303-2647"</f>
        <v>0303-2647</v>
      </c>
      <c r="E883" s="5">
        <v>1.9730000000000001</v>
      </c>
      <c r="F883" s="5">
        <v>0.441</v>
      </c>
    </row>
    <row r="884" spans="2:6" x14ac:dyDescent="0.2">
      <c r="B884" s="9" t="s">
        <v>6085</v>
      </c>
      <c r="C884" s="15" t="s">
        <v>4820</v>
      </c>
      <c r="D884" s="12" t="str">
        <f>"1052-0295"</f>
        <v>1052-0295</v>
      </c>
      <c r="E884" s="5">
        <v>1.718</v>
      </c>
      <c r="F884" s="5">
        <v>0.114</v>
      </c>
    </row>
    <row r="885" spans="2:6" x14ac:dyDescent="0.2">
      <c r="B885" s="9" t="s">
        <v>6086</v>
      </c>
      <c r="C885" s="15" t="s">
        <v>6086</v>
      </c>
      <c r="D885" s="12" t="str">
        <f>"0736-6205"</f>
        <v>0736-6205</v>
      </c>
      <c r="E885" s="5">
        <v>1.9930000000000001</v>
      </c>
      <c r="F885" s="5">
        <v>0.23400000000000001</v>
      </c>
    </row>
    <row r="886" spans="2:6" x14ac:dyDescent="0.2">
      <c r="B886" s="9" t="s">
        <v>6087</v>
      </c>
      <c r="C886" s="15" t="s">
        <v>4821</v>
      </c>
      <c r="D886" s="12" t="str">
        <f>"1873-1899"</f>
        <v>1873-1899</v>
      </c>
      <c r="E886" s="5">
        <v>14.227</v>
      </c>
      <c r="F886" s="5">
        <v>0.98099999999999998</v>
      </c>
    </row>
    <row r="887" spans="2:6" x14ac:dyDescent="0.2">
      <c r="B887" s="9" t="s">
        <v>6088</v>
      </c>
      <c r="C887" s="15" t="s">
        <v>4822</v>
      </c>
      <c r="D887" s="12" t="str">
        <f>"0885-4513"</f>
        <v>0885-4513</v>
      </c>
      <c r="E887" s="5">
        <v>2.431</v>
      </c>
      <c r="F887" s="5">
        <v>0.31</v>
      </c>
    </row>
    <row r="888" spans="2:6" x14ac:dyDescent="0.2">
      <c r="B888" s="9" t="s">
        <v>6089</v>
      </c>
      <c r="C888" s="15" t="s">
        <v>4823</v>
      </c>
      <c r="D888" s="12" t="str">
        <f>"1097-0290"</f>
        <v>1097-0290</v>
      </c>
      <c r="E888" s="5">
        <v>4.53</v>
      </c>
      <c r="F888" s="5">
        <v>0.72799999999999998</v>
      </c>
    </row>
    <row r="889" spans="2:6" x14ac:dyDescent="0.2">
      <c r="B889" s="9" t="s">
        <v>1964</v>
      </c>
      <c r="C889" s="15" t="s">
        <v>1965</v>
      </c>
      <c r="D889" s="12" t="str">
        <f>"1754-6834"</f>
        <v>1754-6834</v>
      </c>
      <c r="E889" s="5">
        <v>6.04</v>
      </c>
      <c r="F889" s="5">
        <v>0.88</v>
      </c>
    </row>
    <row r="890" spans="2:6" x14ac:dyDescent="0.2">
      <c r="B890" s="9" t="s">
        <v>6090</v>
      </c>
      <c r="C890" s="15" t="s">
        <v>4824</v>
      </c>
      <c r="D890" s="12" t="str">
        <f>"1226-8372"</f>
        <v>1226-8372</v>
      </c>
      <c r="E890" s="5">
        <v>2.8359999999999999</v>
      </c>
      <c r="F890" s="5">
        <v>0.41799999999999998</v>
      </c>
    </row>
    <row r="891" spans="2:6" x14ac:dyDescent="0.2">
      <c r="B891" s="9" t="s">
        <v>1966</v>
      </c>
      <c r="C891" s="15" t="s">
        <v>1967</v>
      </c>
      <c r="D891" s="12" t="str">
        <f>"1310-2818"</f>
        <v>1310-2818</v>
      </c>
      <c r="E891" s="5">
        <v>1.6319999999999999</v>
      </c>
      <c r="F891" s="5">
        <v>8.2000000000000003E-2</v>
      </c>
    </row>
    <row r="892" spans="2:6" x14ac:dyDescent="0.2">
      <c r="B892" s="9" t="s">
        <v>8498</v>
      </c>
      <c r="C892" s="15" t="s">
        <v>8499</v>
      </c>
      <c r="D892" s="12" t="str">
        <f>"1860-6768"</f>
        <v>1860-6768</v>
      </c>
      <c r="E892" s="5">
        <v>4.6769999999999996</v>
      </c>
      <c r="F892" s="5">
        <v>0.83099999999999996</v>
      </c>
    </row>
    <row r="893" spans="2:6" x14ac:dyDescent="0.2">
      <c r="B893" s="9" t="s">
        <v>6091</v>
      </c>
      <c r="C893" s="15" t="s">
        <v>4825</v>
      </c>
      <c r="D893" s="12" t="str">
        <f>"0730-031X"</f>
        <v>0730-031X</v>
      </c>
      <c r="E893" s="5">
        <v>0.14599999999999999</v>
      </c>
      <c r="F893" s="5">
        <v>1.2999999999999999E-2</v>
      </c>
    </row>
    <row r="894" spans="2:6" x14ac:dyDescent="0.2">
      <c r="B894" s="9" t="s">
        <v>6092</v>
      </c>
      <c r="C894" s="15" t="s">
        <v>4826</v>
      </c>
      <c r="D894" s="12" t="str">
        <f>"0141-5492"</f>
        <v>0141-5492</v>
      </c>
      <c r="E894" s="5">
        <v>2.4609999999999999</v>
      </c>
      <c r="F894" s="5">
        <v>0.32900000000000001</v>
      </c>
    </row>
    <row r="895" spans="2:6" x14ac:dyDescent="0.2">
      <c r="B895" s="9" t="s">
        <v>6093</v>
      </c>
      <c r="C895" s="15" t="s">
        <v>4827</v>
      </c>
      <c r="D895" s="12" t="str">
        <f>"8756-7938"</f>
        <v>8756-7938</v>
      </c>
      <c r="E895" s="5">
        <v>2.681</v>
      </c>
      <c r="F895" s="5">
        <v>0.47599999999999998</v>
      </c>
    </row>
    <row r="896" spans="2:6" x14ac:dyDescent="0.2">
      <c r="B896" s="9" t="s">
        <v>6094</v>
      </c>
      <c r="C896" s="15" t="s">
        <v>4828</v>
      </c>
      <c r="D896" s="12" t="str">
        <f>"1398-5647"</f>
        <v>1398-5647</v>
      </c>
      <c r="E896" s="5">
        <v>6.7439999999999998</v>
      </c>
      <c r="F896" s="5">
        <v>0.91200000000000003</v>
      </c>
    </row>
    <row r="897" spans="2:6" x14ac:dyDescent="0.2">
      <c r="B897" s="9" t="s">
        <v>8500</v>
      </c>
      <c r="C897" s="15" t="s">
        <v>8501</v>
      </c>
      <c r="D897" s="12" t="str">
        <f>"2472-1727"</f>
        <v>2472-1727</v>
      </c>
      <c r="E897" s="5">
        <v>2.3439999999999999</v>
      </c>
      <c r="F897" s="5">
        <v>0.39</v>
      </c>
    </row>
    <row r="898" spans="2:6" x14ac:dyDescent="0.2">
      <c r="B898" s="9" t="s">
        <v>6095</v>
      </c>
      <c r="C898" s="15" t="s">
        <v>4829</v>
      </c>
      <c r="D898" s="12" t="str">
        <f>"0730-7659"</f>
        <v>0730-7659</v>
      </c>
      <c r="E898" s="5">
        <v>3.6890000000000001</v>
      </c>
      <c r="F898" s="5">
        <v>0.97599999999999998</v>
      </c>
    </row>
    <row r="899" spans="2:6" x14ac:dyDescent="0.2">
      <c r="B899" s="9" t="s">
        <v>6096</v>
      </c>
      <c r="C899" s="15" t="s">
        <v>4830</v>
      </c>
      <c r="D899" s="12" t="str">
        <f>"1470-0328"</f>
        <v>1470-0328</v>
      </c>
      <c r="E899" s="5">
        <v>6.5309999999999997</v>
      </c>
      <c r="F899" s="5">
        <v>0.92800000000000005</v>
      </c>
    </row>
    <row r="900" spans="2:6" x14ac:dyDescent="0.2">
      <c r="B900" s="9" t="s">
        <v>8502</v>
      </c>
      <c r="C900" s="15" t="s">
        <v>8503</v>
      </c>
      <c r="D900" s="12" t="str">
        <f>"2056-4724"</f>
        <v>2056-4724</v>
      </c>
      <c r="E900" s="5">
        <v>3.2090000000000001</v>
      </c>
      <c r="F900" s="5">
        <v>0.54600000000000004</v>
      </c>
    </row>
    <row r="901" spans="2:6" x14ac:dyDescent="0.2">
      <c r="B901" s="9" t="s">
        <v>8504</v>
      </c>
      <c r="C901" s="15" t="s">
        <v>8504</v>
      </c>
      <c r="D901" s="12" t="str">
        <f>"2474-9842"</f>
        <v>2474-9842</v>
      </c>
      <c r="E901" s="5">
        <v>3.3959999999999999</v>
      </c>
      <c r="F901" s="5">
        <v>0.7</v>
      </c>
    </row>
    <row r="902" spans="2:6" x14ac:dyDescent="0.2">
      <c r="B902" s="9" t="s">
        <v>6097</v>
      </c>
      <c r="C902" s="15" t="s">
        <v>4831</v>
      </c>
      <c r="D902" s="12" t="str">
        <f>"1464-4096"</f>
        <v>1464-4096</v>
      </c>
      <c r="E902" s="5">
        <v>5.5880000000000001</v>
      </c>
      <c r="F902" s="5">
        <v>0.84299999999999997</v>
      </c>
    </row>
    <row r="903" spans="2:6" x14ac:dyDescent="0.2">
      <c r="B903" s="9" t="s">
        <v>1902</v>
      </c>
      <c r="C903" s="15" t="s">
        <v>4742</v>
      </c>
      <c r="D903" s="12" t="str">
        <f>"0253-2964"</f>
        <v>0253-2964</v>
      </c>
      <c r="E903" s="5">
        <v>0.96899999999999997</v>
      </c>
      <c r="F903" s="5">
        <v>0.157</v>
      </c>
    </row>
    <row r="904" spans="2:6" x14ac:dyDescent="0.2">
      <c r="B904" s="9" t="s">
        <v>8505</v>
      </c>
      <c r="C904" s="15" t="s">
        <v>8506</v>
      </c>
      <c r="D904" s="12" t="str">
        <f>"2352-3727"</f>
        <v>2352-3727</v>
      </c>
      <c r="E904" s="5">
        <v>3.2690000000000001</v>
      </c>
      <c r="F904" s="5">
        <v>0.58399999999999996</v>
      </c>
    </row>
    <row r="905" spans="2:6" x14ac:dyDescent="0.2">
      <c r="B905" s="9" t="s">
        <v>8507</v>
      </c>
      <c r="C905" s="15" t="s">
        <v>8508</v>
      </c>
      <c r="D905" s="12" t="str">
        <f>"0717-7917"</f>
        <v>0717-7917</v>
      </c>
      <c r="E905" s="5">
        <v>0.90500000000000003</v>
      </c>
      <c r="F905" s="5">
        <v>0.107</v>
      </c>
    </row>
    <row r="906" spans="2:6" x14ac:dyDescent="0.2">
      <c r="B906" s="9" t="s">
        <v>6098</v>
      </c>
      <c r="C906" s="15" t="s">
        <v>6098</v>
      </c>
      <c r="D906" s="12" t="str">
        <f>"0006-4971"</f>
        <v>0006-4971</v>
      </c>
      <c r="E906" s="5">
        <v>22.113</v>
      </c>
      <c r="F906" s="5">
        <v>1</v>
      </c>
    </row>
    <row r="907" spans="2:6" x14ac:dyDescent="0.2">
      <c r="B907" s="9" t="s">
        <v>8509</v>
      </c>
      <c r="C907" s="15" t="s">
        <v>8510</v>
      </c>
      <c r="D907" s="12" t="str">
        <f>"2473-9529"</f>
        <v>2473-9529</v>
      </c>
      <c r="E907" s="5">
        <v>6.6859999999999999</v>
      </c>
      <c r="F907" s="5">
        <v>0.84199999999999997</v>
      </c>
    </row>
    <row r="908" spans="2:6" x14ac:dyDescent="0.2">
      <c r="B908" s="9" t="s">
        <v>8511</v>
      </c>
      <c r="C908" s="15" t="s">
        <v>8512</v>
      </c>
      <c r="D908" s="12" t="str">
        <f>"2044-5385"</f>
        <v>2044-5385</v>
      </c>
      <c r="E908" s="5">
        <v>11.037000000000001</v>
      </c>
      <c r="F908" s="5">
        <v>0.93400000000000005</v>
      </c>
    </row>
    <row r="909" spans="2:6" x14ac:dyDescent="0.2">
      <c r="B909" s="9" t="s">
        <v>6099</v>
      </c>
      <c r="C909" s="15" t="s">
        <v>4832</v>
      </c>
      <c r="D909" s="12" t="str">
        <f>"1079-9796"</f>
        <v>1079-9796</v>
      </c>
      <c r="E909" s="5">
        <v>3.0390000000000001</v>
      </c>
      <c r="F909" s="5">
        <v>0.39500000000000002</v>
      </c>
    </row>
    <row r="910" spans="2:6" x14ac:dyDescent="0.2">
      <c r="B910" s="9" t="s">
        <v>6100</v>
      </c>
      <c r="C910" s="15" t="s">
        <v>4833</v>
      </c>
      <c r="D910" s="12" t="str">
        <f>"1473-5733"</f>
        <v>1473-5733</v>
      </c>
      <c r="E910" s="5">
        <v>1.276</v>
      </c>
      <c r="F910" s="5">
        <v>6.6000000000000003E-2</v>
      </c>
    </row>
    <row r="911" spans="2:6" x14ac:dyDescent="0.2">
      <c r="B911" s="9" t="s">
        <v>6101</v>
      </c>
      <c r="C911" s="15" t="s">
        <v>4834</v>
      </c>
      <c r="D911" s="12" t="str">
        <f>"1359-5237"</f>
        <v>1359-5237</v>
      </c>
      <c r="E911" s="5">
        <v>1.444</v>
      </c>
      <c r="F911" s="5">
        <v>7.6999999999999999E-2</v>
      </c>
    </row>
    <row r="912" spans="2:6" x14ac:dyDescent="0.2">
      <c r="B912" s="9" t="s">
        <v>6102</v>
      </c>
      <c r="C912" s="15" t="s">
        <v>6102</v>
      </c>
      <c r="D912" s="12" t="str">
        <f>"0803-7051"</f>
        <v>0803-7051</v>
      </c>
      <c r="E912" s="5">
        <v>2.835</v>
      </c>
      <c r="F912" s="5">
        <v>0.44600000000000001</v>
      </c>
    </row>
    <row r="913" spans="2:6" x14ac:dyDescent="0.2">
      <c r="B913" s="9" t="s">
        <v>6103</v>
      </c>
      <c r="C913" s="15" t="s">
        <v>4835</v>
      </c>
      <c r="D913" s="12" t="str">
        <f>"0253-5068"</f>
        <v>0253-5068</v>
      </c>
      <c r="E913" s="5">
        <v>2.6139999999999999</v>
      </c>
      <c r="F913" s="5">
        <v>0.41599999999999998</v>
      </c>
    </row>
    <row r="914" spans="2:6" x14ac:dyDescent="0.2">
      <c r="B914" s="9" t="s">
        <v>6104</v>
      </c>
      <c r="C914" s="15" t="s">
        <v>4836</v>
      </c>
      <c r="D914" s="12" t="str">
        <f>"0268-960X"</f>
        <v>0268-960X</v>
      </c>
      <c r="E914" s="5">
        <v>8.25</v>
      </c>
      <c r="F914" s="5">
        <v>0.88200000000000001</v>
      </c>
    </row>
    <row r="915" spans="2:6" x14ac:dyDescent="0.2">
      <c r="B915" s="9" t="s">
        <v>8513</v>
      </c>
      <c r="C915" s="15" t="s">
        <v>8514</v>
      </c>
      <c r="D915" s="12" t="str">
        <f>"1723-2007"</f>
        <v>1723-2007</v>
      </c>
      <c r="E915" s="5">
        <v>3.4430000000000001</v>
      </c>
      <c r="F915" s="5">
        <v>0.52600000000000002</v>
      </c>
    </row>
    <row r="916" spans="2:6" x14ac:dyDescent="0.2">
      <c r="B916" s="9" t="s">
        <v>5979</v>
      </c>
      <c r="C916" s="15" t="s">
        <v>4743</v>
      </c>
      <c r="D916" s="12" t="str">
        <f>"0092-8240"</f>
        <v>0092-8240</v>
      </c>
      <c r="E916" s="5">
        <v>1.758</v>
      </c>
      <c r="F916" s="5">
        <v>0.34399999999999997</v>
      </c>
    </row>
    <row r="917" spans="2:6" x14ac:dyDescent="0.2">
      <c r="B917" s="9" t="s">
        <v>1968</v>
      </c>
      <c r="C917" s="15" t="s">
        <v>1969</v>
      </c>
      <c r="D917" s="12" t="str">
        <f>"1976-6696"</f>
        <v>1976-6696</v>
      </c>
      <c r="E917" s="5">
        <v>4.7779999999999996</v>
      </c>
      <c r="F917" s="5">
        <v>0.67200000000000004</v>
      </c>
    </row>
    <row r="918" spans="2:6" x14ac:dyDescent="0.2">
      <c r="B918" s="9" t="s">
        <v>8515</v>
      </c>
      <c r="C918" s="15" t="s">
        <v>8516</v>
      </c>
      <c r="D918" s="12" t="str">
        <f>"1471-2253"</f>
        <v>1471-2253</v>
      </c>
      <c r="E918" s="5">
        <v>2.2170000000000001</v>
      </c>
      <c r="F918" s="5">
        <v>0.27300000000000002</v>
      </c>
    </row>
    <row r="919" spans="2:6" x14ac:dyDescent="0.2">
      <c r="B919" s="9" t="s">
        <v>8517</v>
      </c>
      <c r="C919" s="15" t="s">
        <v>8518</v>
      </c>
      <c r="D919" s="12" t="str">
        <f>"1471-2091"</f>
        <v>1471-2091</v>
      </c>
      <c r="E919" s="5">
        <v>4.0590000000000002</v>
      </c>
      <c r="F919" s="5">
        <v>0.54700000000000004</v>
      </c>
    </row>
    <row r="920" spans="2:6" x14ac:dyDescent="0.2">
      <c r="B920" s="9" t="s">
        <v>6105</v>
      </c>
      <c r="C920" s="15" t="s">
        <v>6105</v>
      </c>
      <c r="D920" s="12" t="str">
        <f>"1471-2105"</f>
        <v>1471-2105</v>
      </c>
      <c r="E920" s="5">
        <v>3.169</v>
      </c>
      <c r="F920" s="5">
        <v>0.74099999999999999</v>
      </c>
    </row>
    <row r="921" spans="2:6" x14ac:dyDescent="0.2">
      <c r="B921" s="9" t="s">
        <v>1970</v>
      </c>
      <c r="C921" s="15" t="s">
        <v>1971</v>
      </c>
      <c r="D921" s="12" t="str">
        <f>"1741-7007"</f>
        <v>1741-7007</v>
      </c>
      <c r="E921" s="5">
        <v>7.431</v>
      </c>
      <c r="F921" s="5">
        <v>0.93500000000000005</v>
      </c>
    </row>
    <row r="922" spans="2:6" x14ac:dyDescent="0.2">
      <c r="B922" s="9" t="s">
        <v>8519</v>
      </c>
      <c r="C922" s="15" t="s">
        <v>8520</v>
      </c>
      <c r="D922" s="12" t="str">
        <f>"2046-1682"</f>
        <v>2046-1682</v>
      </c>
      <c r="E922" s="5">
        <v>4.7779999999999996</v>
      </c>
      <c r="F922" s="5">
        <v>0.81699999999999995</v>
      </c>
    </row>
    <row r="923" spans="2:6" x14ac:dyDescent="0.2">
      <c r="B923" s="9" t="s">
        <v>6106</v>
      </c>
      <c r="C923" s="15" t="s">
        <v>4837</v>
      </c>
      <c r="D923" s="12" t="str">
        <f>"1472-6750"</f>
        <v>1472-6750</v>
      </c>
      <c r="E923" s="5">
        <v>2.5630000000000002</v>
      </c>
      <c r="F923" s="5">
        <v>0.34200000000000003</v>
      </c>
    </row>
    <row r="924" spans="2:6" x14ac:dyDescent="0.2">
      <c r="B924" s="9" t="s">
        <v>6107</v>
      </c>
      <c r="C924" s="15" t="s">
        <v>6107</v>
      </c>
      <c r="D924" s="12" t="str">
        <f>"1471-2407"</f>
        <v>1471-2407</v>
      </c>
      <c r="E924" s="5">
        <v>4.43</v>
      </c>
      <c r="F924" s="5">
        <v>0.55200000000000005</v>
      </c>
    </row>
    <row r="925" spans="2:6" x14ac:dyDescent="0.2">
      <c r="B925" s="9" t="s">
        <v>8521</v>
      </c>
      <c r="C925" s="15" t="s">
        <v>8522</v>
      </c>
      <c r="D925" s="12" t="str">
        <f>"1471-2261"</f>
        <v>1471-2261</v>
      </c>
      <c r="E925" s="5">
        <v>2.298</v>
      </c>
      <c r="F925" s="5">
        <v>0.34799999999999998</v>
      </c>
    </row>
    <row r="926" spans="2:6" x14ac:dyDescent="0.2">
      <c r="B926" s="9" t="s">
        <v>6108</v>
      </c>
      <c r="C926" s="15" t="s">
        <v>3665</v>
      </c>
      <c r="D926" s="12" t="str">
        <f>"1471-2121"</f>
        <v>1471-2121</v>
      </c>
      <c r="E926" s="5">
        <v>4.2409999999999997</v>
      </c>
      <c r="F926" s="5">
        <v>0.44600000000000001</v>
      </c>
    </row>
    <row r="927" spans="2:6" x14ac:dyDescent="0.2">
      <c r="B927" s="9" t="s">
        <v>8523</v>
      </c>
      <c r="C927" s="15" t="s">
        <v>8524</v>
      </c>
      <c r="D927" s="12" t="str">
        <f>"2661-801X"</f>
        <v>2661-801X</v>
      </c>
      <c r="E927" s="5">
        <v>2.61</v>
      </c>
      <c r="F927" s="5">
        <v>0.42699999999999999</v>
      </c>
    </row>
    <row r="928" spans="2:6" x14ac:dyDescent="0.2">
      <c r="B928" s="9" t="s">
        <v>8525</v>
      </c>
      <c r="C928" s="15" t="s">
        <v>8526</v>
      </c>
      <c r="D928" s="12" t="str">
        <f>"1472-6882"</f>
        <v>1472-6882</v>
      </c>
      <c r="E928" s="5">
        <v>3.6589999999999998</v>
      </c>
      <c r="F928" s="5">
        <v>0.82099999999999995</v>
      </c>
    </row>
    <row r="929" spans="2:6" x14ac:dyDescent="0.2">
      <c r="B929" s="9" t="s">
        <v>6109</v>
      </c>
      <c r="C929" s="15" t="s">
        <v>3666</v>
      </c>
      <c r="D929" s="12" t="str">
        <f>"1471-213X"</f>
        <v>1471-213X</v>
      </c>
      <c r="E929" s="5">
        <v>1.978</v>
      </c>
      <c r="F929" s="5">
        <v>0.22</v>
      </c>
    </row>
    <row r="930" spans="2:6" x14ac:dyDescent="0.2">
      <c r="B930" s="9" t="s">
        <v>8527</v>
      </c>
      <c r="C930" s="15" t="s">
        <v>8528</v>
      </c>
      <c r="D930" s="12" t="str">
        <f>"1471-227X"</f>
        <v>1471-227X</v>
      </c>
      <c r="E930" s="5">
        <v>2.1190000000000002</v>
      </c>
      <c r="F930" s="5">
        <v>0.438</v>
      </c>
    </row>
    <row r="931" spans="2:6" x14ac:dyDescent="0.2">
      <c r="B931" s="9" t="s">
        <v>8529</v>
      </c>
      <c r="C931" s="15" t="s">
        <v>8530</v>
      </c>
      <c r="D931" s="12" t="str">
        <f>"1472-6823"</f>
        <v>1472-6823</v>
      </c>
      <c r="E931" s="5">
        <v>2.7629999999999999</v>
      </c>
      <c r="F931" s="5">
        <v>0.248</v>
      </c>
    </row>
    <row r="932" spans="2:6" x14ac:dyDescent="0.2">
      <c r="B932" s="9" t="s">
        <v>6110</v>
      </c>
      <c r="C932" s="15" t="s">
        <v>3667</v>
      </c>
      <c r="D932" s="12" t="str">
        <f>"1471-2148"</f>
        <v>1471-2148</v>
      </c>
      <c r="E932" s="5">
        <v>3.26</v>
      </c>
      <c r="F932" s="5">
        <v>0.6</v>
      </c>
    </row>
    <row r="933" spans="2:6" x14ac:dyDescent="0.2">
      <c r="B933" s="9" t="s">
        <v>8531</v>
      </c>
      <c r="C933" s="15" t="s">
        <v>1972</v>
      </c>
      <c r="D933" s="12" t="str">
        <f>"1471-2296"</f>
        <v>1471-2296</v>
      </c>
      <c r="E933" s="5">
        <v>2.4969999999999999</v>
      </c>
      <c r="F933" s="5">
        <v>0.56299999999999994</v>
      </c>
    </row>
    <row r="934" spans="2:6" x14ac:dyDescent="0.2">
      <c r="B934" s="9" t="s">
        <v>5409</v>
      </c>
      <c r="C934" s="15" t="s">
        <v>3668</v>
      </c>
      <c r="D934" s="12" t="str">
        <f>"1471-230X"</f>
        <v>1471-230X</v>
      </c>
      <c r="E934" s="5">
        <v>3.0670000000000002</v>
      </c>
      <c r="F934" s="5">
        <v>0.29299999999999998</v>
      </c>
    </row>
    <row r="935" spans="2:6" x14ac:dyDescent="0.2">
      <c r="B935" s="9" t="s">
        <v>5410</v>
      </c>
      <c r="C935" s="15" t="s">
        <v>3669</v>
      </c>
      <c r="D935" s="12" t="str">
        <f>"1471-2156"</f>
        <v>1471-2156</v>
      </c>
      <c r="E935" s="5">
        <v>2.7970000000000002</v>
      </c>
      <c r="F935" s="5">
        <v>0.41099999999999998</v>
      </c>
    </row>
    <row r="936" spans="2:6" x14ac:dyDescent="0.2">
      <c r="B936" s="9" t="s">
        <v>5411</v>
      </c>
      <c r="C936" s="15" t="s">
        <v>5411</v>
      </c>
      <c r="D936" s="12" t="str">
        <f>"1471-2164"</f>
        <v>1471-2164</v>
      </c>
      <c r="E936" s="5">
        <v>3.9689999999999999</v>
      </c>
      <c r="F936" s="5">
        <v>0.64600000000000002</v>
      </c>
    </row>
    <row r="937" spans="2:6" x14ac:dyDescent="0.2">
      <c r="B937" s="9" t="s">
        <v>8532</v>
      </c>
      <c r="C937" s="15" t="s">
        <v>8533</v>
      </c>
      <c r="D937" s="12" t="str">
        <f>"1471-2318"</f>
        <v>1471-2318</v>
      </c>
      <c r="E937" s="5">
        <v>3.9209999999999998</v>
      </c>
      <c r="F937" s="5">
        <v>0.86099999999999999</v>
      </c>
    </row>
    <row r="938" spans="2:6" x14ac:dyDescent="0.2">
      <c r="B938" s="9" t="s">
        <v>5412</v>
      </c>
      <c r="C938" s="15" t="s">
        <v>3670</v>
      </c>
      <c r="D938" s="12" t="str">
        <f>"1472-6963"</f>
        <v>1472-6963</v>
      </c>
      <c r="E938" s="5">
        <v>2.6549999999999998</v>
      </c>
      <c r="F938" s="5">
        <v>0.495</v>
      </c>
    </row>
    <row r="939" spans="2:6" x14ac:dyDescent="0.2">
      <c r="B939" s="9" t="s">
        <v>5413</v>
      </c>
      <c r="C939" s="15" t="s">
        <v>3671</v>
      </c>
      <c r="D939" s="12" t="str">
        <f>"1471-2172"</f>
        <v>1471-2172</v>
      </c>
      <c r="E939" s="5">
        <v>3.6150000000000002</v>
      </c>
      <c r="F939" s="5">
        <v>0.38300000000000001</v>
      </c>
    </row>
    <row r="940" spans="2:6" x14ac:dyDescent="0.2">
      <c r="B940" s="9" t="s">
        <v>5414</v>
      </c>
      <c r="C940" s="15" t="s">
        <v>3672</v>
      </c>
      <c r="D940" s="12" t="str">
        <f>"1471-2334"</f>
        <v>1471-2334</v>
      </c>
      <c r="E940" s="5">
        <v>3.09</v>
      </c>
      <c r="F940" s="5">
        <v>0.39100000000000001</v>
      </c>
    </row>
    <row r="941" spans="2:6" x14ac:dyDescent="0.2">
      <c r="B941" s="9" t="s">
        <v>8534</v>
      </c>
      <c r="C941" s="15" t="s">
        <v>8535</v>
      </c>
      <c r="D941" s="12" t="str">
        <f>"1472-698X"</f>
        <v>1472-698X</v>
      </c>
      <c r="E941" s="5">
        <v>2.6930000000000001</v>
      </c>
      <c r="F941" s="5">
        <v>0.57999999999999996</v>
      </c>
    </row>
    <row r="942" spans="2:6" x14ac:dyDescent="0.2">
      <c r="B942" s="9" t="s">
        <v>1973</v>
      </c>
      <c r="C942" s="15" t="s">
        <v>1974</v>
      </c>
      <c r="D942" s="12" t="str">
        <f>"1741-7015"</f>
        <v>1741-7015</v>
      </c>
      <c r="E942" s="5">
        <v>8.7750000000000004</v>
      </c>
      <c r="F942" s="5">
        <v>0.92800000000000005</v>
      </c>
    </row>
    <row r="943" spans="2:6" x14ac:dyDescent="0.2">
      <c r="B943" s="9" t="s">
        <v>8536</v>
      </c>
      <c r="C943" s="15" t="s">
        <v>8537</v>
      </c>
      <c r="D943" s="12" t="str">
        <f>"1472-6920"</f>
        <v>1472-6920</v>
      </c>
      <c r="E943" s="5">
        <v>2.4630000000000001</v>
      </c>
      <c r="F943" s="5">
        <v>0.60499999999999998</v>
      </c>
    </row>
    <row r="944" spans="2:6" x14ac:dyDescent="0.2">
      <c r="B944" s="9" t="s">
        <v>8538</v>
      </c>
      <c r="C944" s="15" t="s">
        <v>8539</v>
      </c>
      <c r="D944" s="12" t="str">
        <f>"1472-6939"</f>
        <v>1472-6939</v>
      </c>
      <c r="E944" s="5">
        <v>2.6520000000000001</v>
      </c>
      <c r="F944" s="5">
        <v>0.78600000000000003</v>
      </c>
    </row>
    <row r="945" spans="2:6" x14ac:dyDescent="0.2">
      <c r="B945" s="9" t="s">
        <v>1975</v>
      </c>
      <c r="C945" s="15" t="s">
        <v>1976</v>
      </c>
      <c r="D945" s="12" t="str">
        <f>"1471-2350"</f>
        <v>1471-2350</v>
      </c>
      <c r="E945" s="5">
        <v>2.1030000000000002</v>
      </c>
      <c r="F945" s="5">
        <v>0.25700000000000001</v>
      </c>
    </row>
    <row r="946" spans="2:6" x14ac:dyDescent="0.2">
      <c r="B946" s="9" t="s">
        <v>8540</v>
      </c>
      <c r="C946" s="15" t="s">
        <v>8541</v>
      </c>
      <c r="D946" s="12" t="str">
        <f>"1755-8794"</f>
        <v>1755-8794</v>
      </c>
      <c r="E946" s="5">
        <v>3.0630000000000002</v>
      </c>
      <c r="F946" s="5">
        <v>0.45700000000000002</v>
      </c>
    </row>
    <row r="947" spans="2:6" x14ac:dyDescent="0.2">
      <c r="B947" s="9" t="s">
        <v>8542</v>
      </c>
      <c r="C947" s="15" t="s">
        <v>8543</v>
      </c>
      <c r="D947" s="12" t="str">
        <f>"1471-2342"</f>
        <v>1471-2342</v>
      </c>
      <c r="E947" s="5">
        <v>1.93</v>
      </c>
      <c r="F947" s="5">
        <v>0.26300000000000001</v>
      </c>
    </row>
    <row r="948" spans="2:6" x14ac:dyDescent="0.2">
      <c r="B948" s="9" t="s">
        <v>1977</v>
      </c>
      <c r="C948" s="15" t="s">
        <v>1978</v>
      </c>
      <c r="D948" s="12" t="str">
        <f>"1472-6947"</f>
        <v>1472-6947</v>
      </c>
      <c r="E948" s="5">
        <v>2.7959999999999998</v>
      </c>
      <c r="F948" s="5">
        <v>0.433</v>
      </c>
    </row>
    <row r="949" spans="2:6" x14ac:dyDescent="0.2">
      <c r="B949" s="9" t="s">
        <v>8544</v>
      </c>
      <c r="C949" s="15" t="s">
        <v>8545</v>
      </c>
      <c r="D949" s="12" t="str">
        <f>"1471-2288"</f>
        <v>1471-2288</v>
      </c>
      <c r="E949" s="5">
        <v>4.6150000000000002</v>
      </c>
      <c r="F949" s="5">
        <v>0.83199999999999996</v>
      </c>
    </row>
    <row r="950" spans="2:6" x14ac:dyDescent="0.2">
      <c r="B950" s="9" t="s">
        <v>5415</v>
      </c>
      <c r="C950" s="15" t="s">
        <v>3673</v>
      </c>
      <c r="D950" s="12" t="str">
        <f>"1471-2180"</f>
        <v>1471-2180</v>
      </c>
      <c r="E950" s="5">
        <v>3.605</v>
      </c>
      <c r="F950" s="5">
        <v>0.54800000000000004</v>
      </c>
    </row>
    <row r="951" spans="2:6" x14ac:dyDescent="0.2">
      <c r="B951" s="9" t="s">
        <v>5416</v>
      </c>
      <c r="C951" s="15" t="s">
        <v>3674</v>
      </c>
      <c r="D951" s="12" t="str">
        <f>"1471-2199"</f>
        <v>1471-2199</v>
      </c>
      <c r="E951" s="5">
        <v>2.9460000000000002</v>
      </c>
      <c r="F951" s="5">
        <v>0.32100000000000001</v>
      </c>
    </row>
    <row r="952" spans="2:6" x14ac:dyDescent="0.2">
      <c r="B952" s="9" t="s">
        <v>8546</v>
      </c>
      <c r="C952" s="15" t="s">
        <v>8547</v>
      </c>
      <c r="D952" s="12" t="str">
        <f>"2661-8850"</f>
        <v>2661-8850</v>
      </c>
      <c r="E952" s="5">
        <v>2.0329999999999999</v>
      </c>
      <c r="F952" s="5">
        <v>0.114</v>
      </c>
    </row>
    <row r="953" spans="2:6" x14ac:dyDescent="0.2">
      <c r="B953" s="9" t="s">
        <v>5417</v>
      </c>
      <c r="C953" s="15" t="s">
        <v>3675</v>
      </c>
      <c r="D953" s="12" t="str">
        <f>"1471-2474"</f>
        <v>1471-2474</v>
      </c>
      <c r="E953" s="5">
        <v>2.3620000000000001</v>
      </c>
      <c r="F953" s="5">
        <v>0.50600000000000001</v>
      </c>
    </row>
    <row r="954" spans="2:6" x14ac:dyDescent="0.2">
      <c r="B954" s="9" t="s">
        <v>8548</v>
      </c>
      <c r="C954" s="15" t="s">
        <v>8549</v>
      </c>
      <c r="D954" s="12" t="str">
        <f>"1471-2369"</f>
        <v>1471-2369</v>
      </c>
      <c r="E954" s="5">
        <v>2.3879999999999999</v>
      </c>
      <c r="F954" s="5">
        <v>0.371</v>
      </c>
    </row>
    <row r="955" spans="2:6" x14ac:dyDescent="0.2">
      <c r="B955" s="9" t="s">
        <v>1979</v>
      </c>
      <c r="C955" s="15" t="s">
        <v>1980</v>
      </c>
      <c r="D955" s="12" t="str">
        <f>"1471-2377"</f>
        <v>1471-2377</v>
      </c>
      <c r="E955" s="5">
        <v>2.4740000000000002</v>
      </c>
      <c r="F955" s="5">
        <v>0.29799999999999999</v>
      </c>
    </row>
    <row r="956" spans="2:6" x14ac:dyDescent="0.2">
      <c r="B956" s="9" t="s">
        <v>5418</v>
      </c>
      <c r="C956" s="15" t="s">
        <v>3676</v>
      </c>
      <c r="D956" s="12" t="str">
        <f>"1471-2202"</f>
        <v>1471-2202</v>
      </c>
      <c r="E956" s="5">
        <v>3.2879999999999998</v>
      </c>
      <c r="F956" s="5">
        <v>0.39900000000000002</v>
      </c>
    </row>
    <row r="957" spans="2:6" x14ac:dyDescent="0.2">
      <c r="B957" s="9" t="s">
        <v>8550</v>
      </c>
      <c r="C957" s="15" t="s">
        <v>8551</v>
      </c>
      <c r="D957" s="12" t="str">
        <f>"1472-6955"</f>
        <v>1472-6955</v>
      </c>
      <c r="E957" s="5">
        <v>2.2829999999999999</v>
      </c>
      <c r="F957" s="5">
        <v>0.70599999999999996</v>
      </c>
    </row>
    <row r="958" spans="2:6" x14ac:dyDescent="0.2">
      <c r="B958" s="9" t="s">
        <v>8552</v>
      </c>
      <c r="C958" s="15" t="s">
        <v>8553</v>
      </c>
      <c r="D958" s="12" t="str">
        <f>"1471-2415"</f>
        <v>1471-2415</v>
      </c>
      <c r="E958" s="5">
        <v>2.2090000000000001</v>
      </c>
      <c r="F958" s="5">
        <v>0.371</v>
      </c>
    </row>
    <row r="959" spans="2:6" x14ac:dyDescent="0.2">
      <c r="B959" s="9" t="s">
        <v>8554</v>
      </c>
      <c r="C959" s="15" t="s">
        <v>8555</v>
      </c>
      <c r="D959" s="12" t="str">
        <f>"1472-6831"</f>
        <v>1472-6831</v>
      </c>
      <c r="E959" s="5">
        <v>2.7570000000000001</v>
      </c>
      <c r="F959" s="5">
        <v>0.626</v>
      </c>
    </row>
    <row r="960" spans="2:6" x14ac:dyDescent="0.2">
      <c r="B960" s="9" t="s">
        <v>8556</v>
      </c>
      <c r="C960" s="15" t="s">
        <v>8557</v>
      </c>
      <c r="D960" s="12" t="str">
        <f>"1472-684X"</f>
        <v>1472-684X</v>
      </c>
      <c r="E960" s="5">
        <v>3.234</v>
      </c>
      <c r="F960" s="5">
        <v>0.75</v>
      </c>
    </row>
    <row r="961" spans="2:6" x14ac:dyDescent="0.2">
      <c r="B961" s="9" t="s">
        <v>8558</v>
      </c>
      <c r="C961" s="15" t="s">
        <v>8559</v>
      </c>
      <c r="D961" s="12" t="str">
        <f>"1471-2431"</f>
        <v>1471-2431</v>
      </c>
      <c r="E961" s="5">
        <v>2.125</v>
      </c>
      <c r="F961" s="5">
        <v>0.46500000000000002</v>
      </c>
    </row>
    <row r="962" spans="2:6" x14ac:dyDescent="0.2">
      <c r="B962" s="9" t="s">
        <v>8560</v>
      </c>
      <c r="C962" s="15" t="s">
        <v>8561</v>
      </c>
      <c r="D962" s="12" t="str">
        <f>"1471-2210"</f>
        <v>1471-2210</v>
      </c>
      <c r="E962" s="5">
        <v>2.4830000000000001</v>
      </c>
      <c r="F962" s="5">
        <v>0.28399999999999997</v>
      </c>
    </row>
    <row r="963" spans="2:6" x14ac:dyDescent="0.2">
      <c r="B963" s="9" t="s">
        <v>8562</v>
      </c>
      <c r="C963" s="15" t="s">
        <v>8563</v>
      </c>
      <c r="D963" s="12" t="str">
        <f>"1471-2393"</f>
        <v>1471-2393</v>
      </c>
      <c r="E963" s="5">
        <v>3.0070000000000001</v>
      </c>
      <c r="F963" s="5">
        <v>0.627</v>
      </c>
    </row>
    <row r="964" spans="2:6" x14ac:dyDescent="0.2">
      <c r="B964" s="9" t="s">
        <v>1981</v>
      </c>
      <c r="C964" s="15" t="s">
        <v>8564</v>
      </c>
      <c r="D964" s="12" t="str">
        <f>"1471-244X"</f>
        <v>1471-244X</v>
      </c>
      <c r="E964" s="5">
        <v>3.63</v>
      </c>
      <c r="F964" s="5">
        <v>0.63900000000000001</v>
      </c>
    </row>
    <row r="965" spans="2:6" x14ac:dyDescent="0.2">
      <c r="B965" s="9" t="s">
        <v>5419</v>
      </c>
      <c r="C965" s="15" t="s">
        <v>5419</v>
      </c>
      <c r="D965" s="12" t="str">
        <f>"1471-2458"</f>
        <v>1471-2458</v>
      </c>
      <c r="E965" s="5">
        <v>3.2949999999999999</v>
      </c>
      <c r="F965" s="5">
        <v>0.71</v>
      </c>
    </row>
    <row r="966" spans="2:6" x14ac:dyDescent="0.2">
      <c r="B966" s="9" t="s">
        <v>8565</v>
      </c>
      <c r="C966" s="15" t="s">
        <v>8566</v>
      </c>
      <c r="D966" s="12" t="str">
        <f>"1471-2466"</f>
        <v>1471-2466</v>
      </c>
      <c r="E966" s="5">
        <v>3.3170000000000002</v>
      </c>
      <c r="F966" s="5">
        <v>0.53100000000000003</v>
      </c>
    </row>
    <row r="967" spans="2:6" x14ac:dyDescent="0.2">
      <c r="B967" s="9" t="s">
        <v>8567</v>
      </c>
      <c r="C967" s="15" t="s">
        <v>8568</v>
      </c>
      <c r="D967" s="12" t="str">
        <f>"2052-1847"</f>
        <v>2052-1847</v>
      </c>
      <c r="E967" s="5">
        <v>1.9339999999999999</v>
      </c>
      <c r="F967" s="5">
        <v>0.41199999999999998</v>
      </c>
    </row>
    <row r="968" spans="2:6" x14ac:dyDescent="0.2">
      <c r="B968" s="9" t="s">
        <v>8569</v>
      </c>
      <c r="C968" s="15" t="s">
        <v>8570</v>
      </c>
      <c r="D968" s="12" t="str">
        <f>"1471-2482"</f>
        <v>1471-2482</v>
      </c>
      <c r="E968" s="5">
        <v>2.1019999999999999</v>
      </c>
      <c r="F968" s="5">
        <v>0.40500000000000003</v>
      </c>
    </row>
    <row r="969" spans="2:6" x14ac:dyDescent="0.2">
      <c r="B969" s="9" t="s">
        <v>8571</v>
      </c>
      <c r="C969" s="15" t="s">
        <v>8572</v>
      </c>
      <c r="D969" s="12" t="str">
        <f>"1471-2490"</f>
        <v>1471-2490</v>
      </c>
      <c r="E969" s="5">
        <v>2.2639999999999998</v>
      </c>
      <c r="F969" s="5">
        <v>0.315</v>
      </c>
    </row>
    <row r="970" spans="2:6" x14ac:dyDescent="0.2">
      <c r="B970" s="9" t="s">
        <v>8573</v>
      </c>
      <c r="C970" s="15" t="s">
        <v>8574</v>
      </c>
      <c r="D970" s="12" t="str">
        <f>"1746-6148"</f>
        <v>1746-6148</v>
      </c>
      <c r="E970" s="5">
        <v>2.7410000000000001</v>
      </c>
      <c r="F970" s="5">
        <v>0.87</v>
      </c>
    </row>
    <row r="971" spans="2:6" x14ac:dyDescent="0.2">
      <c r="B971" s="9" t="s">
        <v>8575</v>
      </c>
      <c r="C971" s="15" t="s">
        <v>8576</v>
      </c>
      <c r="D971" s="12" t="str">
        <f>"1472-6874"</f>
        <v>1472-6874</v>
      </c>
      <c r="E971" s="5">
        <v>2.8090000000000002</v>
      </c>
      <c r="F971" s="5">
        <v>0.59399999999999997</v>
      </c>
    </row>
    <row r="972" spans="2:6" x14ac:dyDescent="0.2">
      <c r="B972" s="9" t="s">
        <v>1903</v>
      </c>
      <c r="C972" s="15" t="s">
        <v>1904</v>
      </c>
      <c r="D972" s="12" t="str">
        <f>"0025-9284"</f>
        <v>0025-9284</v>
      </c>
      <c r="E972" s="5">
        <v>0.97599999999999998</v>
      </c>
      <c r="F972" s="5">
        <v>0.84599999999999997</v>
      </c>
    </row>
    <row r="973" spans="2:6" x14ac:dyDescent="0.2">
      <c r="B973" s="9" t="s">
        <v>8577</v>
      </c>
      <c r="C973" s="15" t="s">
        <v>8578</v>
      </c>
      <c r="D973" s="12" t="str">
        <f>"1756-1833"</f>
        <v>1756-1833</v>
      </c>
      <c r="E973" s="5">
        <v>39.89</v>
      </c>
      <c r="F973" s="5">
        <v>0.97599999999999998</v>
      </c>
    </row>
    <row r="974" spans="2:6" x14ac:dyDescent="0.2">
      <c r="B974" s="9" t="s">
        <v>8579</v>
      </c>
      <c r="C974" s="15" t="s">
        <v>8580</v>
      </c>
      <c r="D974" s="12" t="str">
        <f>"2059-7908"</f>
        <v>2059-7908</v>
      </c>
      <c r="E974" s="5">
        <v>5.5579999999999998</v>
      </c>
      <c r="F974" s="5">
        <v>0.90400000000000003</v>
      </c>
    </row>
    <row r="975" spans="2:6" x14ac:dyDescent="0.2">
      <c r="B975" s="9" t="s">
        <v>8581</v>
      </c>
      <c r="C975" s="15" t="s">
        <v>8582</v>
      </c>
      <c r="D975" s="12" t="str">
        <f>"2044-6055"</f>
        <v>2044-6055</v>
      </c>
      <c r="E975" s="5">
        <v>2.6920000000000002</v>
      </c>
      <c r="F975" s="5">
        <v>0.623</v>
      </c>
    </row>
    <row r="976" spans="2:6" x14ac:dyDescent="0.2">
      <c r="B976" s="9" t="s">
        <v>8583</v>
      </c>
      <c r="C976" s="15" t="s">
        <v>8584</v>
      </c>
      <c r="D976" s="12" t="str">
        <f>"2052-4897"</f>
        <v>2052-4897</v>
      </c>
      <c r="E976" s="5">
        <v>3.3879999999999999</v>
      </c>
      <c r="F976" s="5">
        <v>0.372</v>
      </c>
    </row>
    <row r="977" spans="2:6" x14ac:dyDescent="0.2">
      <c r="B977" s="9" t="s">
        <v>8585</v>
      </c>
      <c r="C977" s="15" t="s">
        <v>8586</v>
      </c>
      <c r="D977" s="12" t="str">
        <f>"2044-5415"</f>
        <v>2044-5415</v>
      </c>
      <c r="E977" s="5">
        <v>7.0350000000000001</v>
      </c>
      <c r="F977" s="5">
        <v>0.98899999999999999</v>
      </c>
    </row>
    <row r="978" spans="2:6" x14ac:dyDescent="0.2">
      <c r="B978" s="9" t="s">
        <v>8587</v>
      </c>
      <c r="C978" s="15" t="s">
        <v>8588</v>
      </c>
      <c r="D978" s="12" t="str">
        <f>"2515-1991"</f>
        <v>2515-1991</v>
      </c>
      <c r="E978" s="5">
        <v>2.1509999999999998</v>
      </c>
      <c r="F978" s="5">
        <v>0.47799999999999998</v>
      </c>
    </row>
    <row r="979" spans="2:6" x14ac:dyDescent="0.2">
      <c r="B979" s="9" t="s">
        <v>8589</v>
      </c>
      <c r="C979" s="15" t="s">
        <v>8590</v>
      </c>
      <c r="D979" s="12" t="str">
        <f>"2045-435X"</f>
        <v>2045-435X</v>
      </c>
      <c r="E979" s="5">
        <v>3.5680000000000001</v>
      </c>
      <c r="F979" s="5">
        <v>0.68200000000000005</v>
      </c>
    </row>
    <row r="980" spans="2:6" x14ac:dyDescent="0.2">
      <c r="B980" s="9" t="s">
        <v>8591</v>
      </c>
      <c r="C980" s="15" t="s">
        <v>8592</v>
      </c>
      <c r="D980" s="12" t="str">
        <f>"1740-1445"</f>
        <v>1740-1445</v>
      </c>
      <c r="E980" s="5">
        <v>6.4059999999999997</v>
      </c>
      <c r="F980" s="5">
        <v>0.92300000000000004</v>
      </c>
    </row>
    <row r="981" spans="2:6" x14ac:dyDescent="0.2">
      <c r="B981" s="9" t="s">
        <v>5420</v>
      </c>
      <c r="C981" s="15" t="s">
        <v>5420</v>
      </c>
      <c r="D981" s="12" t="str">
        <f>"8756-3282"</f>
        <v>8756-3282</v>
      </c>
      <c r="E981" s="5">
        <v>4.3979999999999997</v>
      </c>
      <c r="F981" s="5">
        <v>0.63400000000000001</v>
      </c>
    </row>
    <row r="982" spans="2:6" x14ac:dyDescent="0.2">
      <c r="B982" s="9" t="s">
        <v>8593</v>
      </c>
      <c r="C982" s="15" t="s">
        <v>8594</v>
      </c>
      <c r="D982" s="12" t="str">
        <f>"2049-4394"</f>
        <v>2049-4394</v>
      </c>
      <c r="E982" s="5">
        <v>5.0819999999999999</v>
      </c>
      <c r="F982" s="5">
        <v>0.92600000000000005</v>
      </c>
    </row>
    <row r="983" spans="2:6" x14ac:dyDescent="0.2">
      <c r="B983" s="9" t="s">
        <v>8595</v>
      </c>
      <c r="C983" s="15" t="s">
        <v>8596</v>
      </c>
      <c r="D983" s="12" t="str">
        <f>"2046-3758"</f>
        <v>2046-3758</v>
      </c>
      <c r="E983" s="5">
        <v>5.8529999999999998</v>
      </c>
      <c r="F983" s="5">
        <v>0.96299999999999997</v>
      </c>
    </row>
    <row r="984" spans="2:6" x14ac:dyDescent="0.2">
      <c r="B984" s="9" t="s">
        <v>5421</v>
      </c>
      <c r="C984" s="15" t="s">
        <v>3677</v>
      </c>
      <c r="D984" s="12" t="str">
        <f>"0268-3369"</f>
        <v>0268-3369</v>
      </c>
      <c r="E984" s="5">
        <v>5.4829999999999997</v>
      </c>
      <c r="F984" s="5">
        <v>0.8</v>
      </c>
    </row>
    <row r="985" spans="2:6" x14ac:dyDescent="0.2">
      <c r="B985" s="9" t="s">
        <v>8597</v>
      </c>
      <c r="C985" s="15" t="s">
        <v>8598</v>
      </c>
      <c r="D985" s="12" t="str">
        <f>"2051-6673"</f>
        <v>2051-6673</v>
      </c>
      <c r="E985" s="5">
        <v>3.2970000000000002</v>
      </c>
      <c r="F985" s="5">
        <v>0.58299999999999996</v>
      </c>
    </row>
    <row r="986" spans="2:6" x14ac:dyDescent="0.2">
      <c r="B986" s="9" t="s">
        <v>1982</v>
      </c>
      <c r="C986" s="15" t="s">
        <v>1983</v>
      </c>
      <c r="D986" s="12" t="str">
        <f>"1512-8601"</f>
        <v>1512-8601</v>
      </c>
      <c r="E986" s="5">
        <v>3.363</v>
      </c>
      <c r="F986" s="5">
        <v>0.42899999999999999</v>
      </c>
    </row>
    <row r="987" spans="2:6" x14ac:dyDescent="0.2">
      <c r="B987" s="9" t="s">
        <v>8599</v>
      </c>
      <c r="C987" s="15" t="s">
        <v>2018</v>
      </c>
      <c r="D987" s="12" t="str">
        <f>"1538-4721"</f>
        <v>1538-4721</v>
      </c>
      <c r="E987" s="5">
        <v>2.3620000000000001</v>
      </c>
      <c r="F987" s="5">
        <v>0.36099999999999999</v>
      </c>
    </row>
    <row r="988" spans="2:6" x14ac:dyDescent="0.2">
      <c r="B988" s="9" t="s">
        <v>5422</v>
      </c>
      <c r="C988" s="15" t="s">
        <v>5422</v>
      </c>
      <c r="D988" s="12" t="str">
        <f>"0006-8950"</f>
        <v>0006-8950</v>
      </c>
      <c r="E988" s="5">
        <v>13.500999999999999</v>
      </c>
      <c r="F988" s="5">
        <v>0.97599999999999998</v>
      </c>
    </row>
    <row r="989" spans="2:6" x14ac:dyDescent="0.2">
      <c r="B989" s="9" t="s">
        <v>8600</v>
      </c>
      <c r="C989" s="15" t="s">
        <v>8601</v>
      </c>
      <c r="D989" s="12" t="str">
        <f>"2162-3279"</f>
        <v>2162-3279</v>
      </c>
      <c r="E989" s="5">
        <v>2.7080000000000002</v>
      </c>
      <c r="F989" s="5">
        <v>0.39600000000000002</v>
      </c>
    </row>
    <row r="990" spans="2:6" x14ac:dyDescent="0.2">
      <c r="B990" s="9" t="s">
        <v>5423</v>
      </c>
      <c r="C990" s="15" t="s">
        <v>3678</v>
      </c>
      <c r="D990" s="12" t="str">
        <f>"0006-8977"</f>
        <v>0006-8977</v>
      </c>
      <c r="E990" s="5">
        <v>1.8080000000000001</v>
      </c>
      <c r="F990" s="5">
        <v>0.60899999999999999</v>
      </c>
    </row>
    <row r="991" spans="2:6" x14ac:dyDescent="0.2">
      <c r="B991" s="9" t="s">
        <v>5424</v>
      </c>
      <c r="C991" s="15" t="s">
        <v>3679</v>
      </c>
      <c r="D991" s="12" t="str">
        <f>"0889-1591"</f>
        <v>0889-1591</v>
      </c>
      <c r="E991" s="5">
        <v>7.2169999999999996</v>
      </c>
      <c r="F991" s="5">
        <v>0.93100000000000005</v>
      </c>
    </row>
    <row r="992" spans="2:6" x14ac:dyDescent="0.2">
      <c r="B992" s="9" t="s">
        <v>5425</v>
      </c>
      <c r="C992" s="15" t="s">
        <v>3680</v>
      </c>
      <c r="D992" s="12" t="str">
        <f>"0278-2626"</f>
        <v>0278-2626</v>
      </c>
      <c r="E992" s="5">
        <v>2.31</v>
      </c>
      <c r="F992" s="5">
        <v>0.45600000000000002</v>
      </c>
    </row>
    <row r="993" spans="2:6" x14ac:dyDescent="0.2">
      <c r="B993" s="9" t="s">
        <v>8602</v>
      </c>
      <c r="C993" s="15" t="s">
        <v>8603</v>
      </c>
      <c r="D993" s="12" t="str">
        <f>"2158-0014"</f>
        <v>2158-0014</v>
      </c>
      <c r="E993" s="5">
        <v>2.262</v>
      </c>
      <c r="F993" s="5">
        <v>0.19400000000000001</v>
      </c>
    </row>
    <row r="994" spans="2:6" x14ac:dyDescent="0.2">
      <c r="B994" s="9" t="s">
        <v>5426</v>
      </c>
      <c r="C994" s="15" t="s">
        <v>3681</v>
      </c>
      <c r="D994" s="12" t="str">
        <f>"0387-7604"</f>
        <v>0387-7604</v>
      </c>
      <c r="E994" s="5">
        <v>1.9610000000000001</v>
      </c>
      <c r="F994" s="5">
        <v>0.39500000000000002</v>
      </c>
    </row>
    <row r="995" spans="2:6" x14ac:dyDescent="0.2">
      <c r="B995" s="9" t="s">
        <v>1984</v>
      </c>
      <c r="C995" s="15" t="s">
        <v>1985</v>
      </c>
      <c r="D995" s="12" t="str">
        <f>"1931-7557"</f>
        <v>1931-7557</v>
      </c>
      <c r="E995" s="5">
        <v>3.9780000000000002</v>
      </c>
      <c r="F995" s="5">
        <v>0.76900000000000002</v>
      </c>
    </row>
    <row r="996" spans="2:6" x14ac:dyDescent="0.2">
      <c r="B996" s="9" t="s">
        <v>8604</v>
      </c>
      <c r="C996" s="15" t="s">
        <v>8605</v>
      </c>
      <c r="D996" s="12" t="str">
        <f>"1443-9646"</f>
        <v>1443-9646</v>
      </c>
      <c r="E996" s="5">
        <v>1.7270000000000001</v>
      </c>
      <c r="F996" s="5">
        <v>0.28599999999999998</v>
      </c>
    </row>
    <row r="997" spans="2:6" x14ac:dyDescent="0.2">
      <c r="B997" s="9" t="s">
        <v>5427</v>
      </c>
      <c r="C997" s="15" t="s">
        <v>5427</v>
      </c>
      <c r="D997" s="12" t="str">
        <f>"0269-9052"</f>
        <v>0269-9052</v>
      </c>
      <c r="E997" s="5">
        <v>2.3109999999999999</v>
      </c>
      <c r="F997" s="5">
        <v>0.57099999999999995</v>
      </c>
    </row>
    <row r="998" spans="2:6" x14ac:dyDescent="0.2">
      <c r="B998" s="9" t="s">
        <v>5428</v>
      </c>
      <c r="C998" s="15" t="s">
        <v>3682</v>
      </c>
      <c r="D998" s="12" t="str">
        <f>"0093-934X"</f>
        <v>0093-934X</v>
      </c>
      <c r="E998" s="5">
        <v>2.3809999999999998</v>
      </c>
      <c r="F998" s="5">
        <v>0.83899999999999997</v>
      </c>
    </row>
    <row r="999" spans="2:6" x14ac:dyDescent="0.2">
      <c r="B999" s="9" t="s">
        <v>5429</v>
      </c>
      <c r="C999" s="15" t="s">
        <v>3683</v>
      </c>
      <c r="D999" s="12" t="str">
        <f>"1015-6305"</f>
        <v>1015-6305</v>
      </c>
      <c r="E999" s="5">
        <v>6.508</v>
      </c>
      <c r="F999" s="5">
        <v>0.90900000000000003</v>
      </c>
    </row>
    <row r="1000" spans="2:6" x14ac:dyDescent="0.2">
      <c r="B1000" s="9" t="s">
        <v>5430</v>
      </c>
      <c r="C1000" s="15" t="s">
        <v>3684</v>
      </c>
      <c r="D1000" s="12" t="str">
        <f>"0006-8993"</f>
        <v>0006-8993</v>
      </c>
      <c r="E1000" s="5">
        <v>3.2519999999999998</v>
      </c>
      <c r="F1000" s="5">
        <v>0.38100000000000001</v>
      </c>
    </row>
    <row r="1001" spans="2:6" x14ac:dyDescent="0.2">
      <c r="B1001" s="9" t="s">
        <v>5431</v>
      </c>
      <c r="C1001" s="15" t="s">
        <v>3685</v>
      </c>
      <c r="D1001" s="12" t="str">
        <f>"0361-9230"</f>
        <v>0361-9230</v>
      </c>
      <c r="E1001" s="5">
        <v>4.077</v>
      </c>
      <c r="F1001" s="5">
        <v>0.59299999999999997</v>
      </c>
    </row>
    <row r="1002" spans="2:6" x14ac:dyDescent="0.2">
      <c r="B1002" s="9" t="s">
        <v>8606</v>
      </c>
      <c r="C1002" s="15" t="s">
        <v>8607</v>
      </c>
      <c r="D1002" s="12" t="str">
        <f>"2076-3425"</f>
        <v>2076-3425</v>
      </c>
      <c r="E1002" s="5">
        <v>3.3940000000000001</v>
      </c>
      <c r="F1002" s="5">
        <v>0.42899999999999999</v>
      </c>
    </row>
    <row r="1003" spans="2:6" x14ac:dyDescent="0.2">
      <c r="B1003" s="9" t="s">
        <v>1986</v>
      </c>
      <c r="C1003" s="15" t="s">
        <v>1987</v>
      </c>
      <c r="D1003" s="12" t="str">
        <f>"1935-861X"</f>
        <v>1935-861X</v>
      </c>
      <c r="E1003" s="5">
        <v>8.9550000000000001</v>
      </c>
      <c r="F1003" s="5">
        <v>0.94199999999999995</v>
      </c>
    </row>
    <row r="1004" spans="2:6" x14ac:dyDescent="0.2">
      <c r="B1004" s="9" t="s">
        <v>1988</v>
      </c>
      <c r="C1004" s="15" t="s">
        <v>1989</v>
      </c>
      <c r="D1004" s="12" t="str">
        <f>"1863-2661"</f>
        <v>1863-2661</v>
      </c>
      <c r="E1004" s="5">
        <v>3.27</v>
      </c>
      <c r="F1004" s="5">
        <v>0.90500000000000003</v>
      </c>
    </row>
    <row r="1005" spans="2:6" x14ac:dyDescent="0.2">
      <c r="B1005" s="9" t="s">
        <v>5432</v>
      </c>
      <c r="C1005" s="15" t="s">
        <v>3686</v>
      </c>
      <c r="D1005" s="12" t="str">
        <f>"0896-0267"</f>
        <v>0896-0267</v>
      </c>
      <c r="E1005" s="5">
        <v>3.02</v>
      </c>
      <c r="F1005" s="5">
        <v>0.42299999999999999</v>
      </c>
    </row>
    <row r="1006" spans="2:6" x14ac:dyDescent="0.2">
      <c r="B1006" s="9" t="s">
        <v>1990</v>
      </c>
      <c r="C1006" s="15" t="s">
        <v>1991</v>
      </c>
      <c r="D1006" s="12" t="str">
        <f>"1433-7398"</f>
        <v>1433-7398</v>
      </c>
      <c r="E1006" s="5">
        <v>3.298</v>
      </c>
      <c r="F1006" s="5">
        <v>0.59699999999999998</v>
      </c>
    </row>
    <row r="1007" spans="2:6" x14ac:dyDescent="0.2">
      <c r="B1007" s="9" t="s">
        <v>1992</v>
      </c>
      <c r="C1007" s="15" t="s">
        <v>1993</v>
      </c>
      <c r="D1007" s="12" t="str">
        <f>"0006-9248"</f>
        <v>0006-9248</v>
      </c>
      <c r="E1007" s="5">
        <v>1.278</v>
      </c>
      <c r="F1007" s="5">
        <v>0.27500000000000002</v>
      </c>
    </row>
    <row r="1008" spans="2:6" x14ac:dyDescent="0.2">
      <c r="B1008" s="9" t="s">
        <v>5433</v>
      </c>
      <c r="C1008" s="15" t="s">
        <v>3687</v>
      </c>
      <c r="D1008" s="12" t="str">
        <f>"1516-8913"</f>
        <v>1516-8913</v>
      </c>
      <c r="E1008" s="5">
        <v>0.79700000000000004</v>
      </c>
      <c r="F1008" s="5">
        <v>0.129</v>
      </c>
    </row>
    <row r="1009" spans="2:6" x14ac:dyDescent="0.2">
      <c r="B1009" s="9" t="s">
        <v>8608</v>
      </c>
      <c r="C1009" s="15" t="s">
        <v>8609</v>
      </c>
      <c r="D1009" s="12" t="str">
        <f>"1519-6984"</f>
        <v>1519-6984</v>
      </c>
      <c r="E1009" s="5">
        <v>1.651</v>
      </c>
      <c r="F1009" s="5">
        <v>0.32300000000000001</v>
      </c>
    </row>
    <row r="1010" spans="2:6" x14ac:dyDescent="0.2">
      <c r="B1010" s="9" t="s">
        <v>8610</v>
      </c>
      <c r="C1010" s="15" t="s">
        <v>8611</v>
      </c>
      <c r="D1010" s="12" t="str">
        <f>"0102-7638"</f>
        <v>0102-7638</v>
      </c>
      <c r="E1010" s="5">
        <v>1.3120000000000001</v>
      </c>
      <c r="F1010" s="5">
        <v>0.17100000000000001</v>
      </c>
    </row>
    <row r="1011" spans="2:6" x14ac:dyDescent="0.2">
      <c r="B1011" s="9" t="s">
        <v>1994</v>
      </c>
      <c r="C1011" s="15" t="s">
        <v>1995</v>
      </c>
      <c r="D1011" s="12" t="str">
        <f>"1413-8670"</f>
        <v>1413-8670</v>
      </c>
      <c r="E1011" s="5">
        <v>1.9490000000000001</v>
      </c>
      <c r="F1011" s="5">
        <v>0.152</v>
      </c>
    </row>
    <row r="1012" spans="2:6" x14ac:dyDescent="0.2">
      <c r="B1012" s="9" t="s">
        <v>5434</v>
      </c>
      <c r="C1012" s="15" t="s">
        <v>3688</v>
      </c>
      <c r="D1012" s="12" t="str">
        <f>"0100-879X"</f>
        <v>0100-879X</v>
      </c>
      <c r="E1012" s="5">
        <v>2.59</v>
      </c>
      <c r="F1012" s="5">
        <v>0.55900000000000005</v>
      </c>
    </row>
    <row r="1013" spans="2:6" x14ac:dyDescent="0.2">
      <c r="B1013" s="9" t="s">
        <v>5435</v>
      </c>
      <c r="C1013" s="15" t="s">
        <v>3689</v>
      </c>
      <c r="D1013" s="12" t="str">
        <f>"1517-8382"</f>
        <v>1517-8382</v>
      </c>
      <c r="E1013" s="5">
        <v>2.476</v>
      </c>
      <c r="F1013" s="5">
        <v>0.24399999999999999</v>
      </c>
    </row>
    <row r="1014" spans="2:6" x14ac:dyDescent="0.2">
      <c r="B1014" s="9" t="s">
        <v>8612</v>
      </c>
      <c r="C1014" s="15" t="s">
        <v>8613</v>
      </c>
      <c r="D1014" s="12" t="str">
        <f>"1808-8694"</f>
        <v>1808-8694</v>
      </c>
      <c r="E1014" s="5">
        <v>1.8109999999999999</v>
      </c>
      <c r="F1014" s="5">
        <v>0.38600000000000001</v>
      </c>
    </row>
    <row r="1015" spans="2:6" x14ac:dyDescent="0.2">
      <c r="B1015" s="9" t="s">
        <v>8614</v>
      </c>
      <c r="C1015" s="15" t="s">
        <v>8615</v>
      </c>
      <c r="D1015" s="12" t="str">
        <f>"1984-8250"</f>
        <v>1984-8250</v>
      </c>
      <c r="E1015" s="5">
        <v>1.321</v>
      </c>
      <c r="F1015" s="5">
        <v>9.0999999999999998E-2</v>
      </c>
    </row>
    <row r="1016" spans="2:6" x14ac:dyDescent="0.2">
      <c r="B1016" s="9" t="s">
        <v>8616</v>
      </c>
      <c r="C1016" s="15" t="s">
        <v>8617</v>
      </c>
      <c r="D1016" s="12" t="str">
        <f>"1413-3555"</f>
        <v>1413-3555</v>
      </c>
      <c r="E1016" s="5">
        <v>3.3769999999999998</v>
      </c>
      <c r="F1016" s="5">
        <v>0.89100000000000001</v>
      </c>
    </row>
    <row r="1017" spans="2:6" x14ac:dyDescent="0.2">
      <c r="B1017" s="9" t="s">
        <v>8618</v>
      </c>
      <c r="C1017" s="15" t="s">
        <v>8619</v>
      </c>
      <c r="D1017" s="12" t="str">
        <f>"0103-0752"</f>
        <v>0103-0752</v>
      </c>
      <c r="E1017" s="5">
        <v>0.98799999999999999</v>
      </c>
      <c r="F1017" s="5">
        <v>0.23200000000000001</v>
      </c>
    </row>
    <row r="1018" spans="2:6" x14ac:dyDescent="0.2">
      <c r="B1018" s="9" t="s">
        <v>8620</v>
      </c>
      <c r="C1018" s="15" t="s">
        <v>8621</v>
      </c>
      <c r="D1018" s="12" t="str">
        <f>"1516-4446"</f>
        <v>1516-4446</v>
      </c>
      <c r="E1018" s="5">
        <v>3</v>
      </c>
      <c r="F1018" s="5">
        <v>0.495</v>
      </c>
    </row>
    <row r="1019" spans="2:6" x14ac:dyDescent="0.2">
      <c r="B1019" s="9" t="s">
        <v>5010</v>
      </c>
      <c r="C1019" s="15" t="s">
        <v>5010</v>
      </c>
      <c r="D1019" s="12" t="str">
        <f>"0960-9776"</f>
        <v>0960-9776</v>
      </c>
      <c r="E1019" s="5">
        <v>4.38</v>
      </c>
      <c r="F1019" s="5">
        <v>0.88</v>
      </c>
    </row>
    <row r="1020" spans="2:6" x14ac:dyDescent="0.2">
      <c r="B1020" s="9" t="s">
        <v>5011</v>
      </c>
      <c r="C1020" s="15" t="s">
        <v>3690</v>
      </c>
      <c r="D1020" s="12" t="str">
        <f>"1465-542X"</f>
        <v>1465-542X</v>
      </c>
      <c r="E1020" s="5">
        <v>6.4660000000000002</v>
      </c>
      <c r="F1020" s="5">
        <v>0.77200000000000002</v>
      </c>
    </row>
    <row r="1021" spans="2:6" x14ac:dyDescent="0.2">
      <c r="B1021" s="9" t="s">
        <v>5012</v>
      </c>
      <c r="C1021" s="15" t="s">
        <v>3691</v>
      </c>
      <c r="D1021" s="12" t="str">
        <f>"0167-6806"</f>
        <v>0167-6806</v>
      </c>
      <c r="E1021" s="5">
        <v>4.8719999999999999</v>
      </c>
      <c r="F1021" s="5">
        <v>0.61399999999999999</v>
      </c>
    </row>
    <row r="1022" spans="2:6" x14ac:dyDescent="0.2">
      <c r="B1022" s="9" t="s">
        <v>8622</v>
      </c>
      <c r="C1022" s="15" t="s">
        <v>8623</v>
      </c>
      <c r="D1022" s="12" t="str">
        <f>"1340-6868"</f>
        <v>1340-6868</v>
      </c>
      <c r="E1022" s="5">
        <v>4.2389999999999999</v>
      </c>
      <c r="F1022" s="5">
        <v>0.85499999999999998</v>
      </c>
    </row>
    <row r="1023" spans="2:6" x14ac:dyDescent="0.2">
      <c r="B1023" s="9" t="s">
        <v>5013</v>
      </c>
      <c r="C1023" s="15" t="s">
        <v>3692</v>
      </c>
      <c r="D1023" s="12" t="str">
        <f>"1661-3791"</f>
        <v>1661-3791</v>
      </c>
      <c r="E1023" s="5">
        <v>2.86</v>
      </c>
      <c r="F1023" s="5">
        <v>0.54200000000000004</v>
      </c>
    </row>
    <row r="1024" spans="2:6" x14ac:dyDescent="0.2">
      <c r="B1024" s="9" t="s">
        <v>8624</v>
      </c>
      <c r="C1024" s="15" t="s">
        <v>8625</v>
      </c>
      <c r="D1024" s="12" t="str">
        <f>"1556-8253"</f>
        <v>1556-8253</v>
      </c>
      <c r="E1024" s="5">
        <v>1.8169999999999999</v>
      </c>
      <c r="F1024" s="5">
        <v>0.32600000000000001</v>
      </c>
    </row>
    <row r="1025" spans="2:6" x14ac:dyDescent="0.2">
      <c r="B1025" s="9" t="s">
        <v>1996</v>
      </c>
      <c r="C1025" s="15" t="s">
        <v>1997</v>
      </c>
      <c r="D1025" s="12" t="str">
        <f>"1075-122X"</f>
        <v>1075-122X</v>
      </c>
      <c r="E1025" s="5">
        <v>2.431</v>
      </c>
      <c r="F1025" s="5">
        <v>0.41</v>
      </c>
    </row>
    <row r="1026" spans="2:6" x14ac:dyDescent="0.2">
      <c r="B1026" s="9" t="s">
        <v>5014</v>
      </c>
      <c r="C1026" s="15" t="s">
        <v>3693</v>
      </c>
      <c r="D1026" s="12" t="str">
        <f>"1467-5463"</f>
        <v>1467-5463</v>
      </c>
      <c r="E1026" s="5">
        <v>11.622</v>
      </c>
      <c r="F1026" s="5">
        <v>0.98299999999999998</v>
      </c>
    </row>
    <row r="1027" spans="2:6" x14ac:dyDescent="0.2">
      <c r="B1027" s="9" t="s">
        <v>8626</v>
      </c>
      <c r="C1027" s="15" t="s">
        <v>8627</v>
      </c>
      <c r="D1027" s="12" t="str">
        <f>"2041-2657"</f>
        <v>2041-2657</v>
      </c>
      <c r="E1027" s="5">
        <v>4.2409999999999997</v>
      </c>
      <c r="F1027" s="5">
        <v>0.69</v>
      </c>
    </row>
    <row r="1028" spans="2:6" x14ac:dyDescent="0.2">
      <c r="B1028" s="9" t="s">
        <v>5015</v>
      </c>
      <c r="C1028" s="15" t="s">
        <v>3694</v>
      </c>
      <c r="D1028" s="12" t="str">
        <f>"0007-0610"</f>
        <v>0007-0610</v>
      </c>
      <c r="E1028" s="5">
        <v>1.6259999999999999</v>
      </c>
      <c r="F1028" s="5">
        <v>0.14299999999999999</v>
      </c>
    </row>
    <row r="1029" spans="2:6" x14ac:dyDescent="0.2">
      <c r="B1029" s="9" t="s">
        <v>5016</v>
      </c>
      <c r="C1029" s="15" t="s">
        <v>3695</v>
      </c>
      <c r="D1029" s="12" t="str">
        <f>"0007-0912"</f>
        <v>0007-0912</v>
      </c>
      <c r="E1029" s="5">
        <v>9.1660000000000004</v>
      </c>
      <c r="F1029" s="5">
        <v>0.97</v>
      </c>
    </row>
    <row r="1030" spans="2:6" x14ac:dyDescent="0.2">
      <c r="B1030" s="9" t="s">
        <v>5017</v>
      </c>
      <c r="C1030" s="15" t="s">
        <v>3696</v>
      </c>
      <c r="D1030" s="12" t="str">
        <f>"0967-4845"</f>
        <v>0967-4845</v>
      </c>
      <c r="E1030" s="5">
        <v>3.8290000000000002</v>
      </c>
      <c r="F1030" s="5">
        <v>0.82799999999999996</v>
      </c>
    </row>
    <row r="1031" spans="2:6" x14ac:dyDescent="0.2">
      <c r="B1031" s="9" t="s">
        <v>5018</v>
      </c>
      <c r="C1031" s="15" t="s">
        <v>3697</v>
      </c>
      <c r="D1031" s="12" t="str">
        <f>"0007-0920"</f>
        <v>0007-0920</v>
      </c>
      <c r="E1031" s="5">
        <v>7.64</v>
      </c>
      <c r="F1031" s="5">
        <v>0.84199999999999997</v>
      </c>
    </row>
    <row r="1032" spans="2:6" x14ac:dyDescent="0.2">
      <c r="B1032" s="9" t="s">
        <v>5019</v>
      </c>
      <c r="C1032" s="15" t="s">
        <v>3698</v>
      </c>
      <c r="D1032" s="12" t="str">
        <f>"0306-5251"</f>
        <v>0306-5251</v>
      </c>
      <c r="E1032" s="5">
        <v>4.335</v>
      </c>
      <c r="F1032" s="5">
        <v>0.67300000000000004</v>
      </c>
    </row>
    <row r="1033" spans="2:6" x14ac:dyDescent="0.2">
      <c r="B1033" s="9" t="s">
        <v>1998</v>
      </c>
      <c r="C1033" s="15" t="s">
        <v>1999</v>
      </c>
      <c r="D1033" s="12" t="str">
        <f>"0144-6657"</f>
        <v>0144-6657</v>
      </c>
      <c r="E1033" s="5">
        <v>4.125</v>
      </c>
      <c r="F1033" s="5">
        <v>0.754</v>
      </c>
    </row>
    <row r="1034" spans="2:6" x14ac:dyDescent="0.2">
      <c r="B1034" s="9" t="s">
        <v>5020</v>
      </c>
      <c r="C1034" s="15" t="s">
        <v>3699</v>
      </c>
      <c r="D1034" s="12" t="str">
        <f>"0007-0963"</f>
        <v>0007-0963</v>
      </c>
      <c r="E1034" s="5">
        <v>9.3019999999999996</v>
      </c>
      <c r="F1034" s="5">
        <v>0.97099999999999997</v>
      </c>
    </row>
    <row r="1035" spans="2:6" x14ac:dyDescent="0.2">
      <c r="B1035" s="9" t="s">
        <v>2000</v>
      </c>
      <c r="C1035" s="15" t="s">
        <v>2001</v>
      </c>
      <c r="D1035" s="12" t="str">
        <f>"0261-510X"</f>
        <v>0261-510X</v>
      </c>
      <c r="E1035" s="5">
        <v>2.238</v>
      </c>
      <c r="F1035" s="5">
        <v>0.39</v>
      </c>
    </row>
    <row r="1036" spans="2:6" x14ac:dyDescent="0.2">
      <c r="B1036" s="9" t="s">
        <v>2002</v>
      </c>
      <c r="C1036" s="15" t="s">
        <v>2003</v>
      </c>
      <c r="D1036" s="12" t="str">
        <f>"0007-0998"</f>
        <v>0007-0998</v>
      </c>
      <c r="E1036" s="5">
        <v>3.2410000000000001</v>
      </c>
      <c r="F1036" s="5">
        <v>0.76700000000000002</v>
      </c>
    </row>
    <row r="1037" spans="2:6" x14ac:dyDescent="0.2">
      <c r="B1037" s="9" t="s">
        <v>5021</v>
      </c>
      <c r="C1037" s="15" t="s">
        <v>3700</v>
      </c>
      <c r="D1037" s="12" t="str">
        <f>"0960-1643"</f>
        <v>0960-1643</v>
      </c>
      <c r="E1037" s="5">
        <v>5.3860000000000001</v>
      </c>
      <c r="F1037" s="5">
        <v>1</v>
      </c>
    </row>
    <row r="1038" spans="2:6" x14ac:dyDescent="0.2">
      <c r="B1038" s="9" t="s">
        <v>2004</v>
      </c>
      <c r="C1038" s="15" t="s">
        <v>2005</v>
      </c>
      <c r="D1038" s="12" t="str">
        <f>"0306-9885"</f>
        <v>0306-9885</v>
      </c>
      <c r="E1038" s="5">
        <v>1.1839999999999999</v>
      </c>
      <c r="F1038" s="5">
        <v>9.6000000000000002E-2</v>
      </c>
    </row>
    <row r="1039" spans="2:6" x14ac:dyDescent="0.2">
      <c r="B1039" s="9" t="s">
        <v>5022</v>
      </c>
      <c r="C1039" s="15" t="s">
        <v>3701</v>
      </c>
      <c r="D1039" s="12" t="str">
        <f>"0007-1048"</f>
        <v>0007-1048</v>
      </c>
      <c r="E1039" s="5">
        <v>6.9980000000000002</v>
      </c>
      <c r="F1039" s="5">
        <v>0.85499999999999998</v>
      </c>
    </row>
    <row r="1040" spans="2:6" x14ac:dyDescent="0.2">
      <c r="B1040" s="9" t="s">
        <v>2006</v>
      </c>
      <c r="C1040" s="15" t="s">
        <v>2007</v>
      </c>
      <c r="D1040" s="12" t="str">
        <f>"1359-107X"</f>
        <v>1359-107X</v>
      </c>
      <c r="E1040" s="5">
        <v>3.3109999999999999</v>
      </c>
      <c r="F1040" s="5">
        <v>0.6</v>
      </c>
    </row>
    <row r="1041" spans="2:6" x14ac:dyDescent="0.2">
      <c r="B1041" s="9" t="s">
        <v>2008</v>
      </c>
      <c r="C1041" s="15" t="s">
        <v>2009</v>
      </c>
      <c r="D1041" s="12" t="str">
        <f>"0007-0874"</f>
        <v>0007-0874</v>
      </c>
      <c r="E1041" s="5">
        <v>1.4690000000000001</v>
      </c>
      <c r="F1041" s="5">
        <v>0.74299999999999999</v>
      </c>
    </row>
    <row r="1042" spans="2:6" x14ac:dyDescent="0.2">
      <c r="B1042" s="9" t="s">
        <v>2010</v>
      </c>
      <c r="C1042" s="15" t="s">
        <v>2011</v>
      </c>
      <c r="D1042" s="12" t="str">
        <f>"1750-8460"</f>
        <v>1750-8460</v>
      </c>
      <c r="E1042" s="5">
        <v>0.82499999999999996</v>
      </c>
      <c r="F1042" s="5">
        <v>0.156</v>
      </c>
    </row>
    <row r="1043" spans="2:6" x14ac:dyDescent="0.2">
      <c r="B1043" s="9" t="s">
        <v>5023</v>
      </c>
      <c r="C1043" s="15" t="s">
        <v>3702</v>
      </c>
      <c r="D1043" s="12" t="str">
        <f>"0007-1102"</f>
        <v>0007-1102</v>
      </c>
      <c r="E1043" s="5">
        <v>3.38</v>
      </c>
      <c r="F1043" s="5">
        <v>0.872</v>
      </c>
    </row>
    <row r="1044" spans="2:6" x14ac:dyDescent="0.2">
      <c r="B1044" s="9" t="s">
        <v>5024</v>
      </c>
      <c r="C1044" s="15" t="s">
        <v>3703</v>
      </c>
      <c r="D1044" s="12" t="str">
        <f>"0268-8697"</f>
        <v>0268-8697</v>
      </c>
      <c r="E1044" s="5">
        <v>1.5960000000000001</v>
      </c>
      <c r="F1044" s="5">
        <v>0.23799999999999999</v>
      </c>
    </row>
    <row r="1045" spans="2:6" x14ac:dyDescent="0.2">
      <c r="B1045" s="9" t="s">
        <v>5025</v>
      </c>
      <c r="C1045" s="15" t="s">
        <v>3704</v>
      </c>
      <c r="D1045" s="12" t="str">
        <f>"0007-1145"</f>
        <v>0007-1145</v>
      </c>
      <c r="E1045" s="5">
        <v>3.718</v>
      </c>
      <c r="F1045" s="5">
        <v>0.46600000000000003</v>
      </c>
    </row>
    <row r="1046" spans="2:6" x14ac:dyDescent="0.2">
      <c r="B1046" s="9" t="s">
        <v>8628</v>
      </c>
      <c r="C1046" s="15" t="s">
        <v>8629</v>
      </c>
      <c r="D1046" s="12" t="str">
        <f>"0308-0226"</f>
        <v>0308-0226</v>
      </c>
      <c r="E1046" s="5">
        <v>1.2430000000000001</v>
      </c>
      <c r="F1046" s="5">
        <v>0.109</v>
      </c>
    </row>
    <row r="1047" spans="2:6" x14ac:dyDescent="0.2">
      <c r="B1047" s="9" t="s">
        <v>5026</v>
      </c>
      <c r="C1047" s="15" t="s">
        <v>3705</v>
      </c>
      <c r="D1047" s="12" t="str">
        <f>"0007-1161"</f>
        <v>0007-1161</v>
      </c>
      <c r="E1047" s="5">
        <v>4.6379999999999999</v>
      </c>
      <c r="F1047" s="5">
        <v>0.871</v>
      </c>
    </row>
    <row r="1048" spans="2:6" x14ac:dyDescent="0.2">
      <c r="B1048" s="9" t="s">
        <v>5027</v>
      </c>
      <c r="C1048" s="15" t="s">
        <v>3706</v>
      </c>
      <c r="D1048" s="12" t="str">
        <f>"0266-4356"</f>
        <v>0266-4356</v>
      </c>
      <c r="E1048" s="5">
        <v>1.651</v>
      </c>
      <c r="F1048" s="5">
        <v>0.252</v>
      </c>
    </row>
    <row r="1049" spans="2:6" x14ac:dyDescent="0.2">
      <c r="B1049" s="9" t="s">
        <v>5028</v>
      </c>
      <c r="C1049" s="15" t="s">
        <v>3707</v>
      </c>
      <c r="D1049" s="12" t="str">
        <f>"0007-1188"</f>
        <v>0007-1188</v>
      </c>
      <c r="E1049" s="5">
        <v>8.7390000000000008</v>
      </c>
      <c r="F1049" s="5">
        <v>0.96</v>
      </c>
    </row>
    <row r="1050" spans="2:6" x14ac:dyDescent="0.2">
      <c r="B1050" s="9" t="s">
        <v>5029</v>
      </c>
      <c r="C1050" s="15" t="s">
        <v>3708</v>
      </c>
      <c r="D1050" s="12" t="str">
        <f>"0007-0882"</f>
        <v>0007-0882</v>
      </c>
      <c r="E1050" s="5">
        <v>3.9780000000000002</v>
      </c>
      <c r="F1050" s="5">
        <v>0.98599999999999999</v>
      </c>
    </row>
    <row r="1051" spans="2:6" x14ac:dyDescent="0.2">
      <c r="B1051" s="9" t="s">
        <v>5030</v>
      </c>
      <c r="C1051" s="15" t="s">
        <v>3709</v>
      </c>
      <c r="D1051" s="12" t="str">
        <f>"0007-1250"</f>
        <v>0007-1250</v>
      </c>
      <c r="E1051" s="5">
        <v>9.3190000000000008</v>
      </c>
      <c r="F1051" s="5">
        <v>0.96299999999999997</v>
      </c>
    </row>
    <row r="1052" spans="2:6" x14ac:dyDescent="0.2">
      <c r="B1052" s="9" t="s">
        <v>2012</v>
      </c>
      <c r="C1052" s="15" t="s">
        <v>2013</v>
      </c>
      <c r="D1052" s="12" t="str">
        <f>"2044-8295"</f>
        <v>2044-8295</v>
      </c>
      <c r="E1052" s="5">
        <v>4.2670000000000003</v>
      </c>
      <c r="F1052" s="5">
        <v>0.83499999999999996</v>
      </c>
    </row>
    <row r="1053" spans="2:6" x14ac:dyDescent="0.2">
      <c r="B1053" s="9" t="s">
        <v>5031</v>
      </c>
      <c r="C1053" s="15" t="s">
        <v>3710</v>
      </c>
      <c r="D1053" s="12" t="str">
        <f>"0007-1285"</f>
        <v>0007-1285</v>
      </c>
      <c r="E1053" s="5">
        <v>3.0390000000000001</v>
      </c>
      <c r="F1053" s="5">
        <v>0.54900000000000004</v>
      </c>
    </row>
    <row r="1054" spans="2:6" x14ac:dyDescent="0.2">
      <c r="B1054" s="9" t="s">
        <v>2014</v>
      </c>
      <c r="C1054" s="15" t="s">
        <v>2015</v>
      </c>
      <c r="D1054" s="12" t="str">
        <f>"0144-6665"</f>
        <v>0144-6665</v>
      </c>
      <c r="E1054" s="5">
        <v>4.6909999999999998</v>
      </c>
      <c r="F1054" s="5">
        <v>0.89100000000000001</v>
      </c>
    </row>
    <row r="1055" spans="2:6" x14ac:dyDescent="0.2">
      <c r="B1055" s="9" t="s">
        <v>5032</v>
      </c>
      <c r="C1055" s="15" t="s">
        <v>3711</v>
      </c>
      <c r="D1055" s="12" t="str">
        <f>"0306-3674"</f>
        <v>0306-3674</v>
      </c>
      <c r="E1055" s="5">
        <v>13.8</v>
      </c>
      <c r="F1055" s="5">
        <v>1</v>
      </c>
    </row>
    <row r="1056" spans="2:6" x14ac:dyDescent="0.2">
      <c r="B1056" s="9" t="s">
        <v>5033</v>
      </c>
      <c r="C1056" s="15" t="s">
        <v>3712</v>
      </c>
      <c r="D1056" s="12" t="str">
        <f>"0007-1323"</f>
        <v>0007-1323</v>
      </c>
      <c r="E1056" s="5">
        <v>6.9390000000000001</v>
      </c>
      <c r="F1056" s="5">
        <v>0.95199999999999996</v>
      </c>
    </row>
    <row r="1057" spans="2:6" x14ac:dyDescent="0.2">
      <c r="B1057" s="9" t="s">
        <v>5034</v>
      </c>
      <c r="C1057" s="15" t="s">
        <v>3713</v>
      </c>
      <c r="D1057" s="12" t="str">
        <f>"0007-1420"</f>
        <v>0007-1420</v>
      </c>
      <c r="E1057" s="5">
        <v>4.2910000000000004</v>
      </c>
      <c r="F1057" s="5">
        <v>0.77800000000000002</v>
      </c>
    </row>
    <row r="1058" spans="2:6" x14ac:dyDescent="0.2">
      <c r="B1058" s="9" t="s">
        <v>8630</v>
      </c>
      <c r="C1058" s="15" t="s">
        <v>8631</v>
      </c>
      <c r="D1058" s="12" t="str">
        <f>"2554-5280"</f>
        <v>2554-5280</v>
      </c>
      <c r="E1058" s="5">
        <v>0.156</v>
      </c>
      <c r="F1058" s="5">
        <v>2.1999999999999999E-2</v>
      </c>
    </row>
    <row r="1059" spans="2:6" x14ac:dyDescent="0.2">
      <c r="B1059" s="9" t="s">
        <v>8632</v>
      </c>
      <c r="C1059" s="15" t="s">
        <v>8633</v>
      </c>
      <c r="D1059" s="12" t="str">
        <f>"0392-4432"</f>
        <v>0392-4432</v>
      </c>
      <c r="E1059" s="5">
        <v>0.313</v>
      </c>
      <c r="F1059" s="5">
        <v>8.1000000000000003E-2</v>
      </c>
    </row>
    <row r="1060" spans="2:6" x14ac:dyDescent="0.2">
      <c r="B1060" s="9" t="s">
        <v>2016</v>
      </c>
      <c r="C1060" s="15" t="s">
        <v>2017</v>
      </c>
      <c r="D1060" s="12" t="str">
        <f>"1436-9990"</f>
        <v>1436-9990</v>
      </c>
      <c r="E1060" s="5">
        <v>1.5129999999999999</v>
      </c>
      <c r="F1060" s="5">
        <v>0.20499999999999999</v>
      </c>
    </row>
    <row r="1061" spans="2:6" x14ac:dyDescent="0.2">
      <c r="B1061" s="9" t="s">
        <v>5035</v>
      </c>
      <c r="C1061" s="15" t="s">
        <v>5035</v>
      </c>
      <c r="D1061" s="12" t="str">
        <f>"0525-1931"</f>
        <v>0525-1931</v>
      </c>
      <c r="E1061" s="5">
        <v>0.22500000000000001</v>
      </c>
      <c r="F1061" s="5">
        <v>1.2E-2</v>
      </c>
    </row>
    <row r="1062" spans="2:6" x14ac:dyDescent="0.2">
      <c r="B1062" s="9" t="s">
        <v>5036</v>
      </c>
      <c r="C1062" s="15" t="s">
        <v>5036</v>
      </c>
      <c r="D1062" s="12" t="str">
        <f>"0305-4179"</f>
        <v>0305-4179</v>
      </c>
      <c r="E1062" s="5">
        <v>2.7440000000000002</v>
      </c>
      <c r="F1062" s="5">
        <v>0.58599999999999997</v>
      </c>
    </row>
    <row r="1063" spans="2:6" x14ac:dyDescent="0.2">
      <c r="B1063" s="9" t="s">
        <v>8634</v>
      </c>
      <c r="C1063" s="15" t="s">
        <v>8635</v>
      </c>
      <c r="D1063" s="12" t="str">
        <f>"2321-3868"</f>
        <v>2321-3868</v>
      </c>
      <c r="E1063" s="5">
        <v>5.0990000000000002</v>
      </c>
      <c r="F1063" s="5">
        <v>0.90600000000000003</v>
      </c>
    </row>
    <row r="1064" spans="2:6" x14ac:dyDescent="0.2">
      <c r="B1064" s="9" t="s">
        <v>5980</v>
      </c>
      <c r="C1064" s="15" t="s">
        <v>4744</v>
      </c>
      <c r="D1064" s="12" t="str">
        <f>"0042-9686"</f>
        <v>0042-9686</v>
      </c>
      <c r="E1064" s="5">
        <v>9.4079999999999995</v>
      </c>
      <c r="F1064" s="5">
        <v>0.97299999999999998</v>
      </c>
    </row>
    <row r="1065" spans="2:6" x14ac:dyDescent="0.2">
      <c r="B1065" s="9" t="s">
        <v>5037</v>
      </c>
      <c r="C1065" s="15" t="s">
        <v>3714</v>
      </c>
      <c r="D1065" s="12" t="str">
        <f>"0007-9235"</f>
        <v>0007-9235</v>
      </c>
      <c r="E1065" s="5">
        <v>508.702</v>
      </c>
      <c r="F1065" s="5">
        <v>1</v>
      </c>
    </row>
    <row r="1066" spans="2:6" x14ac:dyDescent="0.2">
      <c r="B1066" s="9" t="s">
        <v>2019</v>
      </c>
      <c r="C1066" s="15" t="s">
        <v>2020</v>
      </c>
      <c r="D1066" s="12" t="str">
        <f>"0102-311X"</f>
        <v>0102-311X</v>
      </c>
      <c r="E1066" s="5">
        <v>1.6319999999999999</v>
      </c>
      <c r="F1066" s="5">
        <v>0.23899999999999999</v>
      </c>
    </row>
    <row r="1067" spans="2:6" x14ac:dyDescent="0.2">
      <c r="B1067" s="9" t="s">
        <v>5038</v>
      </c>
      <c r="C1067" s="15" t="s">
        <v>3715</v>
      </c>
      <c r="D1067" s="12" t="str">
        <f>"0171-967X"</f>
        <v>0171-967X</v>
      </c>
      <c r="E1067" s="5">
        <v>4.3330000000000002</v>
      </c>
      <c r="F1067" s="5">
        <v>0.621</v>
      </c>
    </row>
    <row r="1068" spans="2:6" x14ac:dyDescent="0.2">
      <c r="B1068" s="9" t="s">
        <v>5039</v>
      </c>
      <c r="C1068" s="15" t="s">
        <v>5114</v>
      </c>
      <c r="D1068" s="12" t="str">
        <f>"0963-1801"</f>
        <v>0963-1801</v>
      </c>
      <c r="E1068" s="5">
        <v>1.284</v>
      </c>
      <c r="F1068" s="5">
        <v>0.182</v>
      </c>
    </row>
    <row r="1069" spans="2:6" ht="25.5" x14ac:dyDescent="0.2">
      <c r="B1069" s="9" t="s">
        <v>5040</v>
      </c>
      <c r="C1069" s="15" t="s">
        <v>8636</v>
      </c>
      <c r="D1069" s="12" t="str">
        <f>"0846-5371"</f>
        <v>0846-5371</v>
      </c>
      <c r="E1069" s="5">
        <v>2.2480000000000002</v>
      </c>
      <c r="F1069" s="5">
        <v>0.30099999999999999</v>
      </c>
    </row>
    <row r="1070" spans="2:6" x14ac:dyDescent="0.2">
      <c r="B1070" s="9" t="s">
        <v>2036</v>
      </c>
      <c r="C1070" s="15" t="s">
        <v>2037</v>
      </c>
      <c r="D1070" s="12" t="str">
        <f>"0008-543X"</f>
        <v>0008-543X</v>
      </c>
      <c r="E1070" s="5">
        <v>6.86</v>
      </c>
      <c r="F1070" s="5">
        <v>0.80500000000000005</v>
      </c>
    </row>
    <row r="1071" spans="2:6" x14ac:dyDescent="0.2">
      <c r="B1071" s="9" t="s">
        <v>8637</v>
      </c>
      <c r="C1071" s="15" t="s">
        <v>8638</v>
      </c>
      <c r="D1071" s="12" t="str">
        <f>"2095-3941"</f>
        <v>2095-3941</v>
      </c>
      <c r="E1071" s="5">
        <v>4.2480000000000002</v>
      </c>
      <c r="F1071" s="5">
        <v>0.54300000000000004</v>
      </c>
    </row>
    <row r="1072" spans="2:6" x14ac:dyDescent="0.2">
      <c r="B1072" s="9" t="s">
        <v>5056</v>
      </c>
      <c r="C1072" s="15" t="s">
        <v>5127</v>
      </c>
      <c r="D1072" s="12" t="str">
        <f>"1538-4047"</f>
        <v>1538-4047</v>
      </c>
      <c r="E1072" s="5">
        <v>4.742</v>
      </c>
      <c r="F1072" s="5">
        <v>0.59799999999999998</v>
      </c>
    </row>
    <row r="1073" spans="2:6" x14ac:dyDescent="0.2">
      <c r="B1073" s="9" t="s">
        <v>8639</v>
      </c>
      <c r="C1073" s="15" t="s">
        <v>8640</v>
      </c>
      <c r="D1073" s="12" t="str">
        <f>"1574-0153"</f>
        <v>1574-0153</v>
      </c>
      <c r="E1073" s="5">
        <v>4.3879999999999999</v>
      </c>
      <c r="F1073" s="5">
        <v>0.53900000000000003</v>
      </c>
    </row>
    <row r="1074" spans="2:6" x14ac:dyDescent="0.2">
      <c r="B1074" s="9" t="s">
        <v>5057</v>
      </c>
      <c r="C1074" s="15" t="s">
        <v>5128</v>
      </c>
      <c r="D1074" s="12" t="str">
        <f>"1084-9785"</f>
        <v>1084-9785</v>
      </c>
      <c r="E1074" s="5">
        <v>3.0990000000000002</v>
      </c>
      <c r="F1074" s="5">
        <v>0.55600000000000005</v>
      </c>
    </row>
    <row r="1075" spans="2:6" x14ac:dyDescent="0.2">
      <c r="B1075" s="9" t="s">
        <v>5058</v>
      </c>
      <c r="C1075" s="15" t="s">
        <v>5129</v>
      </c>
      <c r="D1075" s="12" t="str">
        <f>"0957-5243"</f>
        <v>0957-5243</v>
      </c>
      <c r="E1075" s="5">
        <v>2.5059999999999998</v>
      </c>
      <c r="F1075" s="5">
        <v>0.51200000000000001</v>
      </c>
    </row>
    <row r="1076" spans="2:6" x14ac:dyDescent="0.2">
      <c r="B1076" s="9" t="s">
        <v>5059</v>
      </c>
      <c r="C1076" s="15" t="s">
        <v>5059</v>
      </c>
      <c r="D1076" s="12" t="str">
        <f>"1535-6108"</f>
        <v>1535-6108</v>
      </c>
      <c r="E1076" s="5">
        <v>31.742999999999999</v>
      </c>
      <c r="F1076" s="5">
        <v>0.98399999999999999</v>
      </c>
    </row>
    <row r="1077" spans="2:6" x14ac:dyDescent="0.2">
      <c r="B1077" s="9" t="s">
        <v>8641</v>
      </c>
      <c r="C1077" s="15" t="s">
        <v>8642</v>
      </c>
      <c r="D1077" s="12" t="str">
        <f>"1475-2867"</f>
        <v>1475-2867</v>
      </c>
      <c r="E1077" s="5">
        <v>5.7220000000000004</v>
      </c>
      <c r="F1077" s="5">
        <v>0.71</v>
      </c>
    </row>
    <row r="1078" spans="2:6" x14ac:dyDescent="0.2">
      <c r="B1078" s="9" t="s">
        <v>5060</v>
      </c>
      <c r="C1078" s="15" t="s">
        <v>5130</v>
      </c>
      <c r="D1078" s="12" t="str">
        <f>"0344-5704"</f>
        <v>0344-5704</v>
      </c>
      <c r="E1078" s="5">
        <v>3.3330000000000002</v>
      </c>
      <c r="F1078" s="5">
        <v>0.46899999999999997</v>
      </c>
    </row>
    <row r="1079" spans="2:6" x14ac:dyDescent="0.2">
      <c r="B1079" s="9" t="s">
        <v>8643</v>
      </c>
      <c r="C1079" s="15" t="s">
        <v>8644</v>
      </c>
      <c r="D1079" s="12" t="str">
        <f>"2523-3548"</f>
        <v>2523-3548</v>
      </c>
      <c r="E1079" s="5">
        <v>10.391999999999999</v>
      </c>
      <c r="F1079" s="5">
        <v>0.88400000000000001</v>
      </c>
    </row>
    <row r="1080" spans="2:6" x14ac:dyDescent="0.2">
      <c r="B1080" s="9" t="s">
        <v>8645</v>
      </c>
      <c r="C1080" s="15" t="s">
        <v>8646</v>
      </c>
      <c r="D1080" s="12" t="str">
        <f>"1073-2748"</f>
        <v>1073-2748</v>
      </c>
      <c r="E1080" s="5">
        <v>3.302</v>
      </c>
      <c r="F1080" s="5">
        <v>0.315</v>
      </c>
    </row>
    <row r="1081" spans="2:6" x14ac:dyDescent="0.2">
      <c r="B1081" s="9" t="s">
        <v>8647</v>
      </c>
      <c r="C1081" s="15" t="s">
        <v>8648</v>
      </c>
      <c r="D1081" s="12" t="str">
        <f>"1934-662X"</f>
        <v>1934-662X</v>
      </c>
      <c r="E1081" s="5">
        <v>5.2839999999999998</v>
      </c>
      <c r="F1081" s="5">
        <v>0.80500000000000005</v>
      </c>
    </row>
    <row r="1082" spans="2:6" x14ac:dyDescent="0.2">
      <c r="B1082" s="9" t="s">
        <v>8649</v>
      </c>
      <c r="C1082" s="15" t="s">
        <v>8650</v>
      </c>
      <c r="D1082" s="12" t="str">
        <f>"2159-8290"</f>
        <v>2159-8290</v>
      </c>
      <c r="E1082" s="5">
        <v>39.396999999999998</v>
      </c>
      <c r="F1082" s="5">
        <v>0.97899999999999998</v>
      </c>
    </row>
    <row r="1083" spans="2:6" x14ac:dyDescent="0.2">
      <c r="B1083" s="9" t="s">
        <v>5061</v>
      </c>
      <c r="C1083" s="15" t="s">
        <v>5131</v>
      </c>
      <c r="D1083" s="12" t="str">
        <f>"1055-9965"</f>
        <v>1055-9965</v>
      </c>
      <c r="E1083" s="5">
        <v>4.2539999999999996</v>
      </c>
      <c r="F1083" s="5">
        <v>0.82899999999999996</v>
      </c>
    </row>
    <row r="1084" spans="2:6" x14ac:dyDescent="0.2">
      <c r="B1084" s="9" t="s">
        <v>8651</v>
      </c>
      <c r="C1084" s="15" t="s">
        <v>8652</v>
      </c>
      <c r="D1084" s="12" t="str">
        <f>"1877-7821"</f>
        <v>1877-7821</v>
      </c>
      <c r="E1084" s="5">
        <v>2.984</v>
      </c>
      <c r="F1084" s="5">
        <v>0.63500000000000001</v>
      </c>
    </row>
    <row r="1085" spans="2:6" x14ac:dyDescent="0.2">
      <c r="B1085" s="9" t="s">
        <v>5062</v>
      </c>
      <c r="C1085" s="15" t="s">
        <v>5132</v>
      </c>
      <c r="D1085" s="12" t="str">
        <f>"0929-1903"</f>
        <v>0929-1903</v>
      </c>
      <c r="E1085" s="5">
        <v>5.9870000000000001</v>
      </c>
      <c r="F1085" s="5">
        <v>0.873</v>
      </c>
    </row>
    <row r="1086" spans="2:6" x14ac:dyDescent="0.2">
      <c r="B1086" s="9" t="s">
        <v>8653</v>
      </c>
      <c r="C1086" s="15" t="s">
        <v>8654</v>
      </c>
      <c r="D1086" s="12" t="str">
        <f>"2210-7762"</f>
        <v>2210-7762</v>
      </c>
      <c r="E1086" s="5">
        <v>2.5230000000000001</v>
      </c>
      <c r="F1086" s="5">
        <v>0.34899999999999998</v>
      </c>
    </row>
    <row r="1087" spans="2:6" x14ac:dyDescent="0.2">
      <c r="B1087" s="9" t="s">
        <v>8655</v>
      </c>
      <c r="C1087" s="15" t="s">
        <v>8656</v>
      </c>
      <c r="D1087" s="12" t="str">
        <f>"1790-6245"</f>
        <v>1790-6245</v>
      </c>
      <c r="E1087" s="5">
        <v>4.069</v>
      </c>
      <c r="F1087" s="5">
        <v>0.61699999999999999</v>
      </c>
    </row>
    <row r="1088" spans="2:6" x14ac:dyDescent="0.2">
      <c r="B1088" s="9" t="s">
        <v>8657</v>
      </c>
      <c r="C1088" s="15" t="s">
        <v>8657</v>
      </c>
      <c r="D1088" s="12" t="str">
        <f>"1740-5025"</f>
        <v>1740-5025</v>
      </c>
      <c r="E1088" s="5">
        <v>3.9089999999999998</v>
      </c>
      <c r="F1088" s="5">
        <v>0.72199999999999998</v>
      </c>
    </row>
    <row r="1089" spans="2:6" x14ac:dyDescent="0.2">
      <c r="B1089" s="9" t="s">
        <v>5063</v>
      </c>
      <c r="C1089" s="15" t="s">
        <v>5133</v>
      </c>
      <c r="D1089" s="12" t="str">
        <f>"0340-7004"</f>
        <v>0340-7004</v>
      </c>
      <c r="E1089" s="5">
        <v>6.968</v>
      </c>
      <c r="F1089" s="5">
        <v>0.81299999999999994</v>
      </c>
    </row>
    <row r="1090" spans="2:6" x14ac:dyDescent="0.2">
      <c r="B1090" s="9" t="s">
        <v>8658</v>
      </c>
      <c r="C1090" s="15" t="s">
        <v>8659</v>
      </c>
      <c r="D1090" s="12" t="str">
        <f>"2326-6074"</f>
        <v>2326-6074</v>
      </c>
      <c r="E1090" s="5">
        <v>11.151</v>
      </c>
      <c r="F1090" s="5">
        <v>0.92600000000000005</v>
      </c>
    </row>
    <row r="1091" spans="2:6" x14ac:dyDescent="0.2">
      <c r="B1091" s="9" t="s">
        <v>5064</v>
      </c>
      <c r="C1091" s="15" t="s">
        <v>5134</v>
      </c>
      <c r="D1091" s="12" t="str">
        <f>"0735-7907"</f>
        <v>0735-7907</v>
      </c>
      <c r="E1091" s="5">
        <v>2.1760000000000002</v>
      </c>
      <c r="F1091" s="5">
        <v>9.5000000000000001E-2</v>
      </c>
    </row>
    <row r="1092" spans="2:6" x14ac:dyDescent="0.2">
      <c r="B1092" s="9" t="s">
        <v>5065</v>
      </c>
      <c r="C1092" s="15" t="s">
        <v>5135</v>
      </c>
      <c r="D1092" s="12" t="str">
        <f>"1528-9117"</f>
        <v>1528-9117</v>
      </c>
      <c r="E1092" s="5">
        <v>3.36</v>
      </c>
      <c r="F1092" s="5">
        <v>0.32400000000000001</v>
      </c>
    </row>
    <row r="1093" spans="2:6" x14ac:dyDescent="0.2">
      <c r="B1093" s="9" t="s">
        <v>5066</v>
      </c>
      <c r="C1093" s="15" t="s">
        <v>5136</v>
      </c>
      <c r="D1093" s="12" t="str">
        <f>"0304-3835"</f>
        <v>0304-3835</v>
      </c>
      <c r="E1093" s="5">
        <v>8.6790000000000003</v>
      </c>
      <c r="F1093" s="5">
        <v>0.86299999999999999</v>
      </c>
    </row>
    <row r="1094" spans="2:6" x14ac:dyDescent="0.2">
      <c r="B1094" s="9" t="s">
        <v>8660</v>
      </c>
      <c r="C1094" s="15" t="s">
        <v>8661</v>
      </c>
      <c r="D1094" s="12" t="str">
        <f>"1179-1322"</f>
        <v>1179-1322</v>
      </c>
      <c r="E1094" s="5">
        <v>3.9889999999999999</v>
      </c>
      <c r="F1094" s="5">
        <v>0.47299999999999998</v>
      </c>
    </row>
    <row r="1095" spans="2:6" x14ac:dyDescent="0.2">
      <c r="B1095" s="9" t="s">
        <v>8662</v>
      </c>
      <c r="C1095" s="15" t="s">
        <v>8663</v>
      </c>
      <c r="D1095" s="12" t="str">
        <f>"2045-7634"</f>
        <v>2045-7634</v>
      </c>
      <c r="E1095" s="5">
        <v>4.452</v>
      </c>
      <c r="F1095" s="5">
        <v>0.56000000000000005</v>
      </c>
    </row>
    <row r="1096" spans="2:6" x14ac:dyDescent="0.2">
      <c r="B1096" s="9" t="s">
        <v>8664</v>
      </c>
      <c r="C1096" s="15" t="s">
        <v>8665</v>
      </c>
      <c r="D1096" s="12" t="str">
        <f>"2049-3002"</f>
        <v>2049-3002</v>
      </c>
      <c r="E1096" s="5">
        <v>5.4690000000000003</v>
      </c>
      <c r="F1096" s="5">
        <v>0.67200000000000004</v>
      </c>
    </row>
    <row r="1097" spans="2:6" x14ac:dyDescent="0.2">
      <c r="B1097" s="9" t="s">
        <v>5067</v>
      </c>
      <c r="C1097" s="15" t="s">
        <v>5137</v>
      </c>
      <c r="D1097" s="12" t="str">
        <f>"1573-7233"</f>
        <v>1573-7233</v>
      </c>
      <c r="E1097" s="5">
        <v>9.2639999999999993</v>
      </c>
      <c r="F1097" s="5">
        <v>0.871</v>
      </c>
    </row>
    <row r="1098" spans="2:6" x14ac:dyDescent="0.2">
      <c r="B1098" s="9" t="s">
        <v>8666</v>
      </c>
      <c r="C1098" s="15" t="s">
        <v>8667</v>
      </c>
      <c r="D1098" s="12" t="str">
        <f>"1868-6958"</f>
        <v>1868-6958</v>
      </c>
      <c r="E1098" s="5">
        <v>5.0949999999999998</v>
      </c>
      <c r="F1098" s="5">
        <v>0.64300000000000002</v>
      </c>
    </row>
    <row r="1099" spans="2:6" x14ac:dyDescent="0.2">
      <c r="B1099" s="9" t="s">
        <v>5068</v>
      </c>
      <c r="C1099" s="15" t="s">
        <v>5138</v>
      </c>
      <c r="D1099" s="12" t="str">
        <f>"0162-220X"</f>
        <v>0162-220X</v>
      </c>
      <c r="E1099" s="5">
        <v>2.5920000000000001</v>
      </c>
      <c r="F1099" s="5">
        <v>0.84099999999999997</v>
      </c>
    </row>
    <row r="1100" spans="2:6" x14ac:dyDescent="0.2">
      <c r="B1100" s="9" t="s">
        <v>2032</v>
      </c>
      <c r="C1100" s="15" t="s">
        <v>2033</v>
      </c>
      <c r="D1100" s="12" t="str">
        <f>"1940-6215"</f>
        <v>1940-6215</v>
      </c>
      <c r="E1100" s="5">
        <v>3.4910000000000001</v>
      </c>
      <c r="F1100" s="5">
        <v>0.36499999999999999</v>
      </c>
    </row>
    <row r="1101" spans="2:6" x14ac:dyDescent="0.2">
      <c r="B1101" s="9" t="s">
        <v>2034</v>
      </c>
      <c r="C1101" s="15" t="s">
        <v>2035</v>
      </c>
      <c r="D1101" s="12" t="str">
        <f>"1769-6658"</f>
        <v>1769-6658</v>
      </c>
      <c r="E1101" s="5">
        <v>1.018</v>
      </c>
      <c r="F1101" s="5">
        <v>7.4999999999999997E-2</v>
      </c>
    </row>
    <row r="1102" spans="2:6" x14ac:dyDescent="0.2">
      <c r="B1102" s="9" t="s">
        <v>5069</v>
      </c>
      <c r="C1102" s="15" t="s">
        <v>5139</v>
      </c>
      <c r="D1102" s="12" t="str">
        <f>"0008-5472"</f>
        <v>0008-5472</v>
      </c>
      <c r="E1102" s="5">
        <v>12.701000000000001</v>
      </c>
      <c r="F1102" s="5">
        <v>0.93400000000000005</v>
      </c>
    </row>
    <row r="1103" spans="2:6" x14ac:dyDescent="0.2">
      <c r="B1103" s="9" t="s">
        <v>8668</v>
      </c>
      <c r="C1103" s="15" t="s">
        <v>8669</v>
      </c>
      <c r="D1103" s="12" t="str">
        <f>"1598-2998"</f>
        <v>1598-2998</v>
      </c>
      <c r="E1103" s="5">
        <v>4.6790000000000003</v>
      </c>
      <c r="F1103" s="5">
        <v>0.58899999999999997</v>
      </c>
    </row>
    <row r="1104" spans="2:6" x14ac:dyDescent="0.2">
      <c r="B1104" s="9" t="s">
        <v>8670</v>
      </c>
      <c r="C1104" s="15" t="s">
        <v>8671</v>
      </c>
      <c r="D1104" s="12" t="str">
        <f>"2072-6694"</f>
        <v>2072-6694</v>
      </c>
      <c r="E1104" s="5">
        <v>6.6390000000000002</v>
      </c>
      <c r="F1104" s="5">
        <v>0.79300000000000004</v>
      </c>
    </row>
    <row r="1105" spans="2:6" x14ac:dyDescent="0.2">
      <c r="B1105" s="9" t="s">
        <v>5070</v>
      </c>
      <c r="C1105" s="15" t="s">
        <v>5140</v>
      </c>
      <c r="D1105" s="12" t="str">
        <f>"1347-9032"</f>
        <v>1347-9032</v>
      </c>
      <c r="E1105" s="5">
        <v>6.7160000000000002</v>
      </c>
      <c r="F1105" s="5">
        <v>0.79700000000000004</v>
      </c>
    </row>
    <row r="1106" spans="2:6" x14ac:dyDescent="0.2">
      <c r="B1106" s="9" t="s">
        <v>5071</v>
      </c>
      <c r="C1106" s="15" t="s">
        <v>5141</v>
      </c>
      <c r="D1106" s="12" t="str">
        <f>"1532-1967"</f>
        <v>1532-1967</v>
      </c>
      <c r="E1106" s="5">
        <v>12.111000000000001</v>
      </c>
      <c r="F1106" s="5">
        <v>0.92100000000000004</v>
      </c>
    </row>
    <row r="1107" spans="2:6" x14ac:dyDescent="0.2">
      <c r="B1107" s="9" t="s">
        <v>5041</v>
      </c>
      <c r="C1107" s="15" t="s">
        <v>5115</v>
      </c>
      <c r="D1107" s="12" t="str">
        <f>"0008-350X"</f>
        <v>0008-350X</v>
      </c>
      <c r="E1107" s="5">
        <v>3.2749999999999999</v>
      </c>
      <c r="F1107" s="5">
        <v>0.83299999999999996</v>
      </c>
    </row>
    <row r="1108" spans="2:6" x14ac:dyDescent="0.2">
      <c r="B1108" s="9" t="s">
        <v>8672</v>
      </c>
      <c r="C1108" s="15" t="s">
        <v>8673</v>
      </c>
      <c r="D1108" s="12" t="str">
        <f>"0832-610X"</f>
        <v>0832-610X</v>
      </c>
      <c r="E1108" s="5">
        <v>5.0629999999999997</v>
      </c>
      <c r="F1108" s="5">
        <v>0.78800000000000003</v>
      </c>
    </row>
    <row r="1109" spans="2:6" ht="25.5" x14ac:dyDescent="0.2">
      <c r="B1109" s="9" t="s">
        <v>2021</v>
      </c>
      <c r="C1109" s="15" t="s">
        <v>8674</v>
      </c>
      <c r="D1109" s="12" t="str">
        <f>"0008-400X"</f>
        <v>0008-400X</v>
      </c>
      <c r="E1109" s="5">
        <v>1.5740000000000001</v>
      </c>
      <c r="F1109" s="5">
        <v>0.36699999999999999</v>
      </c>
    </row>
    <row r="1110" spans="2:6" x14ac:dyDescent="0.2">
      <c r="B1110" s="9" t="s">
        <v>5042</v>
      </c>
      <c r="C1110" s="15" t="s">
        <v>5116</v>
      </c>
      <c r="D1110" s="12" t="str">
        <f>"0828-282X"</f>
        <v>0828-282X</v>
      </c>
      <c r="E1110" s="5">
        <v>5.2229999999999999</v>
      </c>
      <c r="F1110" s="5">
        <v>0.73</v>
      </c>
    </row>
    <row r="1111" spans="2:6" x14ac:dyDescent="0.2">
      <c r="B1111" s="9" t="s">
        <v>5043</v>
      </c>
      <c r="C1111" s="15" t="s">
        <v>8675</v>
      </c>
      <c r="D1111" s="12" t="str">
        <f>"0008-4042"</f>
        <v>0008-4042</v>
      </c>
      <c r="E1111" s="5">
        <v>1.1180000000000001</v>
      </c>
      <c r="F1111" s="5">
        <v>0.17399999999999999</v>
      </c>
    </row>
    <row r="1112" spans="2:6" x14ac:dyDescent="0.2">
      <c r="B1112" s="9" t="s">
        <v>8676</v>
      </c>
      <c r="C1112" s="15" t="s">
        <v>8677</v>
      </c>
      <c r="D1112" s="12" t="str">
        <f>"1499-2671"</f>
        <v>1499-2671</v>
      </c>
      <c r="E1112" s="5">
        <v>4.1900000000000004</v>
      </c>
      <c r="F1112" s="5">
        <v>0.54500000000000004</v>
      </c>
    </row>
    <row r="1113" spans="2:6" x14ac:dyDescent="0.2">
      <c r="B1113" s="9" t="s">
        <v>5044</v>
      </c>
      <c r="C1113" s="15" t="s">
        <v>5117</v>
      </c>
      <c r="D1113" s="12" t="str">
        <f>"1486-3847"</f>
        <v>1486-3847</v>
      </c>
      <c r="E1113" s="5">
        <v>0.94</v>
      </c>
      <c r="F1113" s="5">
        <v>0.125</v>
      </c>
    </row>
    <row r="1114" spans="2:6" x14ac:dyDescent="0.2">
      <c r="B1114" s="9" t="s">
        <v>8678</v>
      </c>
      <c r="C1114" s="15" t="s">
        <v>8679</v>
      </c>
      <c r="D1114" s="12" t="str">
        <f>"1481-8035"</f>
        <v>1481-8035</v>
      </c>
      <c r="E1114" s="5">
        <v>2.41</v>
      </c>
      <c r="F1114" s="5">
        <v>0.56299999999999994</v>
      </c>
    </row>
    <row r="1115" spans="2:6" ht="25.5" x14ac:dyDescent="0.2">
      <c r="B1115" s="9" t="s">
        <v>2022</v>
      </c>
      <c r="C1115" s="15" t="s">
        <v>8680</v>
      </c>
      <c r="D1115" s="12" t="str">
        <f>"1196-1961"</f>
        <v>1196-1961</v>
      </c>
      <c r="E1115" s="5">
        <v>0.878</v>
      </c>
      <c r="F1115" s="5">
        <v>3.3000000000000002E-2</v>
      </c>
    </row>
    <row r="1116" spans="2:6" x14ac:dyDescent="0.2">
      <c r="B1116" s="9" t="s">
        <v>5045</v>
      </c>
      <c r="C1116" s="15" t="s">
        <v>8681</v>
      </c>
      <c r="D1116" s="12" t="str">
        <f>"2291-2789"</f>
        <v>2291-2789</v>
      </c>
      <c r="E1116" s="5">
        <v>3.5219999999999998</v>
      </c>
      <c r="F1116" s="5">
        <v>0.39100000000000001</v>
      </c>
    </row>
    <row r="1117" spans="2:6" x14ac:dyDescent="0.2">
      <c r="B1117" s="9" t="s">
        <v>2023</v>
      </c>
      <c r="C1117" s="15" t="s">
        <v>2024</v>
      </c>
      <c r="D1117" s="12" t="str">
        <f>"1712-9532"</f>
        <v>1712-9532</v>
      </c>
      <c r="E1117" s="5">
        <v>2.4710000000000001</v>
      </c>
      <c r="F1117" s="5">
        <v>0.27200000000000002</v>
      </c>
    </row>
    <row r="1118" spans="2:6" ht="25.5" x14ac:dyDescent="0.2">
      <c r="B1118" s="9" t="s">
        <v>2025</v>
      </c>
      <c r="C1118" s="15" t="s">
        <v>8682</v>
      </c>
      <c r="D1118" s="12" t="str">
        <f>"1195-096X"</f>
        <v>1195-096X</v>
      </c>
      <c r="E1118" s="5">
        <v>0</v>
      </c>
      <c r="F1118" s="5">
        <v>1.2E-2</v>
      </c>
    </row>
    <row r="1119" spans="2:6" x14ac:dyDescent="0.2">
      <c r="B1119" s="9" t="s">
        <v>5046</v>
      </c>
      <c r="C1119" s="15" t="s">
        <v>5118</v>
      </c>
      <c r="D1119" s="12" t="str">
        <f>"0008-4166"</f>
        <v>0008-4166</v>
      </c>
      <c r="E1119" s="5">
        <v>2.419</v>
      </c>
      <c r="F1119" s="5">
        <v>0.30399999999999999</v>
      </c>
    </row>
    <row r="1120" spans="2:6" x14ac:dyDescent="0.2">
      <c r="B1120" s="9" t="s">
        <v>5047</v>
      </c>
      <c r="C1120" s="15" t="s">
        <v>5119</v>
      </c>
      <c r="D1120" s="12" t="str">
        <f>"0317-1671"</f>
        <v>0317-1671</v>
      </c>
      <c r="E1120" s="5">
        <v>2.1040000000000001</v>
      </c>
      <c r="F1120" s="5">
        <v>0.23100000000000001</v>
      </c>
    </row>
    <row r="1121" spans="2:6" x14ac:dyDescent="0.2">
      <c r="B1121" s="9" t="s">
        <v>8683</v>
      </c>
      <c r="C1121" s="15" t="s">
        <v>8684</v>
      </c>
      <c r="D1121" s="12" t="str">
        <f>"0008-4174"</f>
        <v>0008-4174</v>
      </c>
      <c r="E1121" s="5">
        <v>1.6140000000000001</v>
      </c>
      <c r="F1121" s="5">
        <v>0.252</v>
      </c>
    </row>
    <row r="1122" spans="2:6" ht="25.5" x14ac:dyDescent="0.2">
      <c r="B1122" s="9" t="s">
        <v>5048</v>
      </c>
      <c r="C1122" s="15" t="s">
        <v>5120</v>
      </c>
      <c r="D1122" s="12" t="str">
        <f>"0008-4182"</f>
        <v>0008-4182</v>
      </c>
      <c r="E1122" s="5">
        <v>1.8819999999999999</v>
      </c>
      <c r="F1122" s="5">
        <v>0.25800000000000001</v>
      </c>
    </row>
    <row r="1123" spans="2:6" x14ac:dyDescent="0.2">
      <c r="B1123" s="9" t="s">
        <v>5049</v>
      </c>
      <c r="C1123" s="15" t="s">
        <v>5121</v>
      </c>
      <c r="D1123" s="12" t="str">
        <f>"0008-4212"</f>
        <v>0008-4212</v>
      </c>
      <c r="E1123" s="5">
        <v>2.2730000000000001</v>
      </c>
      <c r="F1123" s="5">
        <v>0.32100000000000001</v>
      </c>
    </row>
    <row r="1124" spans="2:6" x14ac:dyDescent="0.2">
      <c r="B1124" s="9" t="s">
        <v>5050</v>
      </c>
      <c r="C1124" s="15" t="s">
        <v>5122</v>
      </c>
      <c r="D1124" s="12" t="str">
        <f>"0706-7437"</f>
        <v>0706-7437</v>
      </c>
      <c r="E1124" s="5">
        <v>4.3559999999999999</v>
      </c>
      <c r="F1124" s="5">
        <v>0.75</v>
      </c>
    </row>
    <row r="1125" spans="2:6" ht="25.5" x14ac:dyDescent="0.2">
      <c r="B1125" s="9" t="s">
        <v>2026</v>
      </c>
      <c r="C1125" s="15" t="s">
        <v>2027</v>
      </c>
      <c r="D1125" s="12" t="str">
        <f>"0008-4263"</f>
        <v>0008-4263</v>
      </c>
      <c r="E1125" s="5">
        <v>2.448</v>
      </c>
      <c r="F1125" s="5">
        <v>0.48499999999999999</v>
      </c>
    </row>
    <row r="1126" spans="2:6" x14ac:dyDescent="0.2">
      <c r="B1126" s="9" t="s">
        <v>8685</v>
      </c>
      <c r="C1126" s="15" t="s">
        <v>8686</v>
      </c>
      <c r="D1126" s="12" t="str">
        <f>"0829-5735"</f>
        <v>0829-5735</v>
      </c>
      <c r="E1126" s="5">
        <v>1.333</v>
      </c>
      <c r="F1126" s="5">
        <v>0.13300000000000001</v>
      </c>
    </row>
    <row r="1127" spans="2:6" x14ac:dyDescent="0.2">
      <c r="B1127" s="9" t="s">
        <v>5051</v>
      </c>
      <c r="C1127" s="15" t="s">
        <v>5123</v>
      </c>
      <c r="D1127" s="12" t="str">
        <f>"0319-5724"</f>
        <v>0319-5724</v>
      </c>
      <c r="E1127" s="5">
        <v>0.875</v>
      </c>
      <c r="F1127" s="5">
        <v>0.14399999999999999</v>
      </c>
    </row>
    <row r="1128" spans="2:6" x14ac:dyDescent="0.2">
      <c r="B1128" s="9" t="s">
        <v>5052</v>
      </c>
      <c r="C1128" s="15" t="s">
        <v>5124</v>
      </c>
      <c r="D1128" s="12" t="str">
        <f>"0008-428X"</f>
        <v>0008-428X</v>
      </c>
      <c r="E1128" s="5">
        <v>2.089</v>
      </c>
      <c r="F1128" s="5">
        <v>0.4</v>
      </c>
    </row>
    <row r="1129" spans="2:6" x14ac:dyDescent="0.2">
      <c r="B1129" s="9" t="s">
        <v>8687</v>
      </c>
      <c r="C1129" s="15" t="s">
        <v>8688</v>
      </c>
      <c r="D1129" s="12" t="str">
        <f>"1195-9479"</f>
        <v>1195-9479</v>
      </c>
      <c r="E1129" s="5">
        <v>1.3440000000000001</v>
      </c>
      <c r="F1129" s="5">
        <v>0.13500000000000001</v>
      </c>
    </row>
    <row r="1130" spans="2:6" ht="25.5" x14ac:dyDescent="0.2">
      <c r="B1130" s="9" t="s">
        <v>5053</v>
      </c>
      <c r="C1130" s="15" t="s">
        <v>8689</v>
      </c>
      <c r="D1130" s="12" t="str">
        <f>"1928-9022"</f>
        <v>1928-9022</v>
      </c>
      <c r="E1130" s="5">
        <v>1.31</v>
      </c>
      <c r="F1130" s="5">
        <v>0.42499999999999999</v>
      </c>
    </row>
    <row r="1131" spans="2:6" x14ac:dyDescent="0.2">
      <c r="B1131" s="9" t="s">
        <v>5054</v>
      </c>
      <c r="C1131" s="15" t="s">
        <v>5125</v>
      </c>
      <c r="D1131" s="12" t="str">
        <f>"0820-3946"</f>
        <v>0820-3946</v>
      </c>
      <c r="E1131" s="5">
        <v>8.2620000000000005</v>
      </c>
      <c r="F1131" s="5">
        <v>0.91</v>
      </c>
    </row>
    <row r="1132" spans="2:6" x14ac:dyDescent="0.2">
      <c r="B1132" s="9" t="s">
        <v>8690</v>
      </c>
      <c r="C1132" s="15" t="s">
        <v>8691</v>
      </c>
      <c r="D1132" s="12" t="str">
        <f>"2578-5125"</f>
        <v>2578-5125</v>
      </c>
      <c r="E1132" s="5">
        <v>5.7640000000000002</v>
      </c>
      <c r="F1132" s="5">
        <v>0.84</v>
      </c>
    </row>
    <row r="1133" spans="2:6" x14ac:dyDescent="0.2">
      <c r="B1133" s="9" t="s">
        <v>2028</v>
      </c>
      <c r="C1133" s="15" t="s">
        <v>2029</v>
      </c>
      <c r="D1133" s="12" t="str">
        <f>"0708-5591"</f>
        <v>0708-5591</v>
      </c>
      <c r="E1133" s="5">
        <v>1.9390000000000001</v>
      </c>
      <c r="F1133" s="5">
        <v>0.432</v>
      </c>
    </row>
    <row r="1134" spans="2:6" x14ac:dyDescent="0.2">
      <c r="B1134" s="9" t="s">
        <v>2030</v>
      </c>
      <c r="C1134" s="15" t="s">
        <v>2031</v>
      </c>
      <c r="D1134" s="12" t="str">
        <f>"1198-2241"</f>
        <v>1198-2241</v>
      </c>
      <c r="E1134" s="5">
        <v>2.4089999999999998</v>
      </c>
      <c r="F1134" s="5">
        <v>0.219</v>
      </c>
    </row>
    <row r="1135" spans="2:6" x14ac:dyDescent="0.2">
      <c r="B1135" s="9" t="s">
        <v>8692</v>
      </c>
      <c r="C1135" s="15" t="s">
        <v>8693</v>
      </c>
      <c r="D1135" s="12" t="str">
        <f>"0380-1489"</f>
        <v>0380-1489</v>
      </c>
      <c r="E1135" s="5">
        <v>0.77300000000000002</v>
      </c>
      <c r="F1135" s="5">
        <v>0.13800000000000001</v>
      </c>
    </row>
    <row r="1136" spans="2:6" x14ac:dyDescent="0.2">
      <c r="B1136" s="9" t="s">
        <v>5055</v>
      </c>
      <c r="C1136" s="15" t="s">
        <v>5126</v>
      </c>
      <c r="D1136" s="12" t="str">
        <f>"0008-5286"</f>
        <v>0008-5286</v>
      </c>
      <c r="E1136" s="5">
        <v>1.008</v>
      </c>
      <c r="F1136" s="5">
        <v>0.33600000000000002</v>
      </c>
    </row>
    <row r="1137" spans="2:6" x14ac:dyDescent="0.2">
      <c r="B1137" s="9" t="s">
        <v>5072</v>
      </c>
      <c r="C1137" s="15" t="s">
        <v>5142</v>
      </c>
      <c r="D1137" s="12" t="str">
        <f>"0144-8617"</f>
        <v>0144-8617</v>
      </c>
      <c r="E1137" s="5">
        <v>9.3810000000000002</v>
      </c>
      <c r="F1137" s="5">
        <v>0.97699999999999998</v>
      </c>
    </row>
    <row r="1138" spans="2:6" x14ac:dyDescent="0.2">
      <c r="B1138" s="9" t="s">
        <v>5073</v>
      </c>
      <c r="C1138" s="15" t="s">
        <v>5143</v>
      </c>
      <c r="D1138" s="12" t="str">
        <f>"0008-6215"</f>
        <v>0008-6215</v>
      </c>
      <c r="E1138" s="5">
        <v>2.1040000000000001</v>
      </c>
      <c r="F1138" s="5">
        <v>0.48599999999999999</v>
      </c>
    </row>
    <row r="1139" spans="2:6" x14ac:dyDescent="0.2">
      <c r="B1139" s="9" t="s">
        <v>8694</v>
      </c>
      <c r="C1139" s="15" t="s">
        <v>8695</v>
      </c>
      <c r="D1139" s="12" t="str">
        <f>"1976-4251"</f>
        <v>1976-4251</v>
      </c>
      <c r="E1139" s="5">
        <v>1.917</v>
      </c>
      <c r="F1139" s="5">
        <v>0.33100000000000002</v>
      </c>
    </row>
    <row r="1140" spans="2:6" x14ac:dyDescent="0.2">
      <c r="B1140" s="9" t="s">
        <v>5074</v>
      </c>
      <c r="C1140" s="15" t="s">
        <v>5074</v>
      </c>
      <c r="D1140" s="12" t="str">
        <f>"0143-3334"</f>
        <v>0143-3334</v>
      </c>
      <c r="E1140" s="5">
        <v>4.944</v>
      </c>
      <c r="F1140" s="5">
        <v>0.622</v>
      </c>
    </row>
    <row r="1141" spans="2:6" x14ac:dyDescent="0.2">
      <c r="B1141" s="9" t="s">
        <v>5075</v>
      </c>
      <c r="C1141" s="15" t="s">
        <v>5144</v>
      </c>
      <c r="D1141" s="12" t="str">
        <f>"0733-8651"</f>
        <v>0733-8651</v>
      </c>
      <c r="E1141" s="5">
        <v>2.2130000000000001</v>
      </c>
      <c r="F1141" s="5">
        <v>0.32600000000000001</v>
      </c>
    </row>
    <row r="1142" spans="2:6" x14ac:dyDescent="0.2">
      <c r="B1142" s="9" t="s">
        <v>8696</v>
      </c>
      <c r="C1142" s="15" t="s">
        <v>8697</v>
      </c>
      <c r="D1142" s="12" t="str">
        <f>"1897-5593"</f>
        <v>1897-5593</v>
      </c>
      <c r="E1142" s="5">
        <v>2.7370000000000001</v>
      </c>
      <c r="F1142" s="5">
        <v>0.42599999999999999</v>
      </c>
    </row>
    <row r="1143" spans="2:6" x14ac:dyDescent="0.2">
      <c r="B1143" s="9" t="s">
        <v>5077</v>
      </c>
      <c r="C1143" s="15" t="s">
        <v>5077</v>
      </c>
      <c r="D1143" s="12" t="str">
        <f>"0008-6312"</f>
        <v>0008-6312</v>
      </c>
      <c r="E1143" s="5">
        <v>1.869</v>
      </c>
      <c r="F1143" s="5">
        <v>0.191</v>
      </c>
    </row>
    <row r="1144" spans="2:6" x14ac:dyDescent="0.2">
      <c r="B1144" s="9" t="s">
        <v>8698</v>
      </c>
      <c r="C1144" s="15" t="s">
        <v>8699</v>
      </c>
      <c r="D1144" s="12" t="str">
        <f>"2090-8016"</f>
        <v>2090-8016</v>
      </c>
      <c r="E1144" s="5">
        <v>1.8660000000000001</v>
      </c>
      <c r="F1144" s="5">
        <v>0.184</v>
      </c>
    </row>
    <row r="1145" spans="2:6" x14ac:dyDescent="0.2">
      <c r="B1145" s="9" t="s">
        <v>8700</v>
      </c>
      <c r="C1145" s="15" t="s">
        <v>8701</v>
      </c>
      <c r="D1145" s="12" t="str">
        <f>"1538-4683"</f>
        <v>1538-4683</v>
      </c>
      <c r="E1145" s="5">
        <v>2.6440000000000001</v>
      </c>
      <c r="F1145" s="5">
        <v>0.40400000000000003</v>
      </c>
    </row>
    <row r="1146" spans="2:6" x14ac:dyDescent="0.2">
      <c r="B1146" s="9" t="s">
        <v>5076</v>
      </c>
      <c r="C1146" s="15" t="s">
        <v>5145</v>
      </c>
      <c r="D1146" s="12" t="str">
        <f>"1047-9511"</f>
        <v>1047-9511</v>
      </c>
      <c r="E1146" s="5">
        <v>1.093</v>
      </c>
      <c r="F1146" s="5">
        <v>8.5000000000000006E-2</v>
      </c>
    </row>
    <row r="1147" spans="2:6" x14ac:dyDescent="0.2">
      <c r="B1147" s="9" t="s">
        <v>8702</v>
      </c>
      <c r="C1147" s="15" t="s">
        <v>8703</v>
      </c>
      <c r="D1147" s="12" t="str">
        <f>"1664-3828"</f>
        <v>1664-3828</v>
      </c>
      <c r="E1147" s="5">
        <v>2.0409999999999999</v>
      </c>
      <c r="F1147" s="5">
        <v>0.27</v>
      </c>
    </row>
    <row r="1148" spans="2:6" x14ac:dyDescent="0.2">
      <c r="B1148" s="9" t="s">
        <v>2038</v>
      </c>
      <c r="C1148" s="15" t="s">
        <v>2039</v>
      </c>
      <c r="D1148" s="12" t="str">
        <f>"1475-2840"</f>
        <v>1475-2840</v>
      </c>
      <c r="E1148" s="5">
        <v>9.9510000000000005</v>
      </c>
      <c r="F1148" s="5">
        <v>0.93799999999999994</v>
      </c>
    </row>
    <row r="1149" spans="2:6" x14ac:dyDescent="0.2">
      <c r="B1149" s="9" t="s">
        <v>8704</v>
      </c>
      <c r="C1149" s="15" t="s">
        <v>8705</v>
      </c>
      <c r="D1149" s="12" t="str">
        <f>"2223-3652"</f>
        <v>2223-3652</v>
      </c>
      <c r="E1149" s="5">
        <v>2.8450000000000002</v>
      </c>
      <c r="F1149" s="5">
        <v>0.44700000000000001</v>
      </c>
    </row>
    <row r="1150" spans="2:6" x14ac:dyDescent="0.2">
      <c r="B1150" s="9" t="s">
        <v>5078</v>
      </c>
      <c r="C1150" s="15" t="s">
        <v>5146</v>
      </c>
      <c r="D1150" s="12" t="str">
        <f>"0920-3206"</f>
        <v>0920-3206</v>
      </c>
      <c r="E1150" s="5">
        <v>3.7269999999999999</v>
      </c>
      <c r="F1150" s="5">
        <v>0.57399999999999995</v>
      </c>
    </row>
    <row r="1151" spans="2:6" x14ac:dyDescent="0.2">
      <c r="B1151" s="9" t="s">
        <v>8706</v>
      </c>
      <c r="C1151" s="15" t="s">
        <v>8707</v>
      </c>
      <c r="D1151" s="12" t="str">
        <f>"1869-408X"</f>
        <v>1869-408X</v>
      </c>
      <c r="E1151" s="5">
        <v>2.4950000000000001</v>
      </c>
      <c r="F1151" s="5">
        <v>0.39</v>
      </c>
    </row>
    <row r="1152" spans="2:6" x14ac:dyDescent="0.2">
      <c r="B1152" s="9" t="s">
        <v>5079</v>
      </c>
      <c r="C1152" s="15" t="s">
        <v>5147</v>
      </c>
      <c r="D1152" s="12" t="str">
        <f>"0174-1551"</f>
        <v>0174-1551</v>
      </c>
      <c r="E1152" s="5">
        <v>2.74</v>
      </c>
      <c r="F1152" s="5">
        <v>0.47399999999999998</v>
      </c>
    </row>
    <row r="1153" spans="2:6" x14ac:dyDescent="0.2">
      <c r="B1153" s="9" t="s">
        <v>8708</v>
      </c>
      <c r="C1153" s="15" t="s">
        <v>8709</v>
      </c>
      <c r="D1153" s="12" t="str">
        <f>"1995-1892"</f>
        <v>1995-1892</v>
      </c>
      <c r="E1153" s="5">
        <v>1.167</v>
      </c>
      <c r="F1153" s="5">
        <v>2.8000000000000001E-2</v>
      </c>
    </row>
    <row r="1154" spans="2:6" x14ac:dyDescent="0.2">
      <c r="B1154" s="9" t="s">
        <v>5080</v>
      </c>
      <c r="C1154" s="15" t="s">
        <v>5148</v>
      </c>
      <c r="D1154" s="12" t="str">
        <f>"1054-8807"</f>
        <v>1054-8807</v>
      </c>
      <c r="E1154" s="5">
        <v>2.1850000000000001</v>
      </c>
      <c r="F1154" s="5">
        <v>0.39</v>
      </c>
    </row>
    <row r="1155" spans="2:6" x14ac:dyDescent="0.2">
      <c r="B1155" s="9" t="s">
        <v>5081</v>
      </c>
      <c r="C1155" s="15" t="s">
        <v>5149</v>
      </c>
      <c r="D1155" s="12" t="str">
        <f>"0008-6363"</f>
        <v>0008-6363</v>
      </c>
      <c r="E1155" s="5">
        <v>10.787000000000001</v>
      </c>
      <c r="F1155" s="5">
        <v>0.92200000000000004</v>
      </c>
    </row>
    <row r="1156" spans="2:6" x14ac:dyDescent="0.2">
      <c r="B1156" s="9" t="s">
        <v>2040</v>
      </c>
      <c r="C1156" s="15" t="s">
        <v>2041</v>
      </c>
      <c r="D1156" s="12" t="str">
        <f>"1755-5914"</f>
        <v>1755-5914</v>
      </c>
      <c r="E1156" s="5">
        <v>3.0230000000000001</v>
      </c>
      <c r="F1156" s="5">
        <v>0.496</v>
      </c>
    </row>
    <row r="1157" spans="2:6" x14ac:dyDescent="0.2">
      <c r="B1157" s="9" t="s">
        <v>2042</v>
      </c>
      <c r="C1157" s="15" t="s">
        <v>2043</v>
      </c>
      <c r="D1157" s="12" t="str">
        <f>"1530-7905"</f>
        <v>1530-7905</v>
      </c>
      <c r="E1157" s="5">
        <v>3.2309999999999999</v>
      </c>
      <c r="F1157" s="5">
        <v>0.53200000000000003</v>
      </c>
    </row>
    <row r="1158" spans="2:6" x14ac:dyDescent="0.2">
      <c r="B1158" s="9" t="s">
        <v>8710</v>
      </c>
      <c r="C1158" s="15" t="s">
        <v>8711</v>
      </c>
      <c r="D1158" s="12" t="str">
        <f>"1476-7120"</f>
        <v>1476-7120</v>
      </c>
      <c r="E1158" s="5">
        <v>2.0619999999999998</v>
      </c>
      <c r="F1158" s="5">
        <v>0.27700000000000002</v>
      </c>
    </row>
    <row r="1159" spans="2:6" x14ac:dyDescent="0.2">
      <c r="B1159" s="9" t="s">
        <v>8712</v>
      </c>
      <c r="C1159" s="15" t="s">
        <v>8713</v>
      </c>
      <c r="D1159" s="12" t="str">
        <f>"1362-0436"</f>
        <v>1362-0436</v>
      </c>
      <c r="E1159" s="5">
        <v>3.7919999999999998</v>
      </c>
      <c r="F1159" s="5">
        <v>0.69899999999999995</v>
      </c>
    </row>
    <row r="1160" spans="2:6" x14ac:dyDescent="0.2">
      <c r="B1160" s="9" t="s">
        <v>2044</v>
      </c>
      <c r="C1160" s="15" t="s">
        <v>2045</v>
      </c>
      <c r="D1160" s="12" t="str">
        <f>"0889-4019"</f>
        <v>0889-4019</v>
      </c>
      <c r="E1160" s="5">
        <v>2.4910000000000001</v>
      </c>
      <c r="F1160" s="5">
        <v>0.41</v>
      </c>
    </row>
    <row r="1161" spans="2:6" x14ac:dyDescent="0.2">
      <c r="B1161" s="9" t="s">
        <v>8714</v>
      </c>
      <c r="C1161" s="15" t="s">
        <v>8715</v>
      </c>
      <c r="D1161" s="12" t="str">
        <f>"2165-1434"</f>
        <v>2165-1434</v>
      </c>
      <c r="E1161" s="5">
        <v>1.923</v>
      </c>
      <c r="F1161" s="5">
        <v>0.432</v>
      </c>
    </row>
    <row r="1162" spans="2:6" x14ac:dyDescent="0.2">
      <c r="B1162" s="9" t="s">
        <v>5082</v>
      </c>
      <c r="C1162" s="15" t="s">
        <v>5150</v>
      </c>
      <c r="D1162" s="12" t="str">
        <f>"0008-6568"</f>
        <v>0008-6568</v>
      </c>
      <c r="E1162" s="5">
        <v>4.056</v>
      </c>
      <c r="F1162" s="5">
        <v>0.82399999999999995</v>
      </c>
    </row>
    <row r="1163" spans="2:6" x14ac:dyDescent="0.2">
      <c r="B1163" s="9" t="s">
        <v>8716</v>
      </c>
      <c r="C1163" s="15" t="s">
        <v>8717</v>
      </c>
      <c r="D1163" s="12" t="str">
        <f>"1947-6035"</f>
        <v>1947-6035</v>
      </c>
      <c r="E1163" s="5">
        <v>4.6340000000000003</v>
      </c>
      <c r="F1163" s="5">
        <v>0.877</v>
      </c>
    </row>
    <row r="1164" spans="2:6" x14ac:dyDescent="0.2">
      <c r="B1164" s="9" t="s">
        <v>5083</v>
      </c>
      <c r="C1164" s="15" t="s">
        <v>5083</v>
      </c>
      <c r="D1164" s="12" t="str">
        <f>"0008-7114"</f>
        <v>0008-7114</v>
      </c>
      <c r="E1164" s="5">
        <v>0.91800000000000004</v>
      </c>
      <c r="F1164" s="5">
        <v>0.17</v>
      </c>
    </row>
    <row r="1165" spans="2:6" x14ac:dyDescent="0.2">
      <c r="B1165" s="9" t="s">
        <v>5084</v>
      </c>
      <c r="C1165" s="15" t="s">
        <v>5151</v>
      </c>
      <c r="D1165" s="12" t="str">
        <f>"1522-1946"</f>
        <v>1522-1946</v>
      </c>
      <c r="E1165" s="5">
        <v>2.6920000000000002</v>
      </c>
      <c r="F1165" s="5">
        <v>0.41799999999999998</v>
      </c>
    </row>
    <row r="1166" spans="2:6" x14ac:dyDescent="0.2">
      <c r="B1166" s="9" t="s">
        <v>5085</v>
      </c>
      <c r="C1166" s="15" t="s">
        <v>5152</v>
      </c>
      <c r="D1166" s="12" t="str">
        <f>"0969-1251"</f>
        <v>0969-1251</v>
      </c>
      <c r="E1166" s="5">
        <v>7.0999999999999994E-2</v>
      </c>
      <c r="F1166" s="5">
        <v>7.0000000000000001E-3</v>
      </c>
    </row>
    <row r="1167" spans="2:6" x14ac:dyDescent="0.2">
      <c r="B1167" s="9" t="s">
        <v>8718</v>
      </c>
      <c r="C1167" s="15" t="s">
        <v>8719</v>
      </c>
      <c r="D1167" s="12" t="str">
        <f>"1931-7913"</f>
        <v>1931-7913</v>
      </c>
      <c r="E1167" s="5">
        <v>3.3250000000000002</v>
      </c>
      <c r="F1167" s="5">
        <v>0.79100000000000004</v>
      </c>
    </row>
    <row r="1168" spans="2:6" x14ac:dyDescent="0.2">
      <c r="B1168" s="9" t="s">
        <v>5086</v>
      </c>
      <c r="C1168" s="15" t="s">
        <v>5086</v>
      </c>
      <c r="D1168" s="12" t="str">
        <f>"1097-4172"</f>
        <v>1097-4172</v>
      </c>
      <c r="E1168" s="5">
        <v>41.582000000000001</v>
      </c>
      <c r="F1168" s="5">
        <v>0.997</v>
      </c>
    </row>
    <row r="1169" spans="2:6" x14ac:dyDescent="0.2">
      <c r="B1169" s="9" t="s">
        <v>8720</v>
      </c>
      <c r="C1169" s="15" t="s">
        <v>8721</v>
      </c>
      <c r="D1169" s="12" t="str">
        <f>"1933-6918"</f>
        <v>1933-6918</v>
      </c>
      <c r="E1169" s="5">
        <v>3.4049999999999998</v>
      </c>
      <c r="F1169" s="5">
        <v>0.316</v>
      </c>
    </row>
    <row r="1170" spans="2:6" x14ac:dyDescent="0.2">
      <c r="B1170" s="9" t="s">
        <v>5087</v>
      </c>
      <c r="C1170" s="15" t="s">
        <v>5153</v>
      </c>
      <c r="D1170" s="12" t="str">
        <f>"1085-9195"</f>
        <v>1085-9195</v>
      </c>
      <c r="E1170" s="5">
        <v>2.194</v>
      </c>
      <c r="F1170" s="5">
        <v>0.28199999999999997</v>
      </c>
    </row>
    <row r="1171" spans="2:6" x14ac:dyDescent="0.2">
      <c r="B1171" s="9" t="s">
        <v>5088</v>
      </c>
      <c r="C1171" s="15" t="s">
        <v>5154</v>
      </c>
      <c r="D1171" s="12" t="str">
        <f>"1099-0844"</f>
        <v>1099-0844</v>
      </c>
      <c r="E1171" s="5">
        <v>3.6850000000000001</v>
      </c>
      <c r="F1171" s="5">
        <v>0.45300000000000001</v>
      </c>
    </row>
    <row r="1172" spans="2:6" x14ac:dyDescent="0.2">
      <c r="B1172" s="9" t="s">
        <v>5089</v>
      </c>
      <c r="C1172" s="15" t="s">
        <v>5155</v>
      </c>
      <c r="D1172" s="12" t="str">
        <f>"1065-6995"</f>
        <v>1065-6995</v>
      </c>
      <c r="E1172" s="5">
        <v>3.6120000000000001</v>
      </c>
      <c r="F1172" s="5">
        <v>0.32600000000000001</v>
      </c>
    </row>
    <row r="1173" spans="2:6" x14ac:dyDescent="0.2">
      <c r="B1173" s="9" t="s">
        <v>5090</v>
      </c>
      <c r="C1173" s="15" t="s">
        <v>5156</v>
      </c>
      <c r="D1173" s="12" t="str">
        <f>"1573-6822"</f>
        <v>1573-6822</v>
      </c>
      <c r="E1173" s="5">
        <v>6.6909999999999998</v>
      </c>
      <c r="F1173" s="5">
        <v>0.94599999999999995</v>
      </c>
    </row>
    <row r="1174" spans="2:6" x14ac:dyDescent="0.2">
      <c r="B1174" s="9" t="s">
        <v>8722</v>
      </c>
      <c r="C1174" s="15" t="s">
        <v>8723</v>
      </c>
      <c r="D1174" s="12" t="str">
        <f>"2045-3701"</f>
        <v>2045-3701</v>
      </c>
      <c r="E1174" s="5">
        <v>7.133</v>
      </c>
      <c r="F1174" s="5">
        <v>0.84499999999999997</v>
      </c>
    </row>
    <row r="1175" spans="2:6" x14ac:dyDescent="0.2">
      <c r="B1175" s="9" t="s">
        <v>5091</v>
      </c>
      <c r="C1175" s="15" t="s">
        <v>5091</v>
      </c>
      <c r="D1175" s="12" t="str">
        <f>"0143-4160"</f>
        <v>0143-4160</v>
      </c>
      <c r="E1175" s="5">
        <v>6.8170000000000002</v>
      </c>
      <c r="F1175" s="5">
        <v>0.76200000000000001</v>
      </c>
    </row>
    <row r="1176" spans="2:6" x14ac:dyDescent="0.2">
      <c r="B1176" s="9" t="s">
        <v>8724</v>
      </c>
      <c r="C1176" s="15" t="s">
        <v>8725</v>
      </c>
      <c r="D1176" s="12" t="str">
        <f>"2451-9448"</f>
        <v>2451-9448</v>
      </c>
      <c r="E1176" s="5">
        <v>8.1159999999999997</v>
      </c>
      <c r="F1176" s="5">
        <v>0.875</v>
      </c>
    </row>
    <row r="1177" spans="2:6" x14ac:dyDescent="0.2">
      <c r="B1177" s="9" t="s">
        <v>8726</v>
      </c>
      <c r="C1177" s="15" t="s">
        <v>8727</v>
      </c>
      <c r="D1177" s="12" t="str">
        <f>"1478-811X"</f>
        <v>1478-811X</v>
      </c>
      <c r="E1177" s="5">
        <v>5.7119999999999997</v>
      </c>
      <c r="F1177" s="5">
        <v>0.66800000000000004</v>
      </c>
    </row>
    <row r="1178" spans="2:6" x14ac:dyDescent="0.2">
      <c r="B1178" s="9" t="s">
        <v>5092</v>
      </c>
      <c r="C1178" s="15" t="s">
        <v>5092</v>
      </c>
      <c r="D1178" s="12" t="str">
        <f>"1551-4005"</f>
        <v>1551-4005</v>
      </c>
      <c r="E1178" s="5">
        <v>4.5339999999999998</v>
      </c>
      <c r="F1178" s="5">
        <v>0.50800000000000001</v>
      </c>
    </row>
    <row r="1179" spans="2:6" x14ac:dyDescent="0.2">
      <c r="B1179" s="9" t="s">
        <v>5093</v>
      </c>
      <c r="C1179" s="15" t="s">
        <v>5157</v>
      </c>
      <c r="D1179" s="12" t="str">
        <f>"1350-9047"</f>
        <v>1350-9047</v>
      </c>
      <c r="E1179" s="5">
        <v>15.827999999999999</v>
      </c>
      <c r="F1179" s="5">
        <v>0.96299999999999997</v>
      </c>
    </row>
    <row r="1180" spans="2:6" x14ac:dyDescent="0.2">
      <c r="B1180" s="9" t="s">
        <v>8728</v>
      </c>
      <c r="C1180" s="15" t="s">
        <v>8729</v>
      </c>
      <c r="D1180" s="12" t="str">
        <f>"2041-4889"</f>
        <v>2041-4889</v>
      </c>
      <c r="E1180" s="5">
        <v>8.4689999999999994</v>
      </c>
      <c r="F1180" s="5">
        <v>0.81299999999999994</v>
      </c>
    </row>
    <row r="1181" spans="2:6" x14ac:dyDescent="0.2">
      <c r="B1181" s="9" t="s">
        <v>8730</v>
      </c>
      <c r="C1181" s="15" t="s">
        <v>8731</v>
      </c>
      <c r="D1181" s="12" t="str">
        <f>"2058-7716"</f>
        <v>2058-7716</v>
      </c>
      <c r="E1181" s="5">
        <v>5.2409999999999997</v>
      </c>
      <c r="F1181" s="5">
        <v>0.61699999999999999</v>
      </c>
    </row>
    <row r="1182" spans="2:6" x14ac:dyDescent="0.2">
      <c r="B1182" s="9" t="s">
        <v>8732</v>
      </c>
      <c r="C1182" s="15" t="s">
        <v>8733</v>
      </c>
      <c r="D1182" s="12" t="str">
        <f>"2056-5968"</f>
        <v>2056-5968</v>
      </c>
      <c r="E1182" s="5">
        <v>10.849</v>
      </c>
      <c r="F1182" s="5">
        <v>0.87</v>
      </c>
    </row>
    <row r="1183" spans="2:6" x14ac:dyDescent="0.2">
      <c r="B1183" s="9" t="s">
        <v>8734</v>
      </c>
      <c r="C1183" s="15" t="s">
        <v>8735</v>
      </c>
      <c r="D1183" s="12" t="str">
        <f>"1747-1028"</f>
        <v>1747-1028</v>
      </c>
      <c r="E1183" s="5">
        <v>5.13</v>
      </c>
      <c r="F1183" s="5">
        <v>0.60099999999999998</v>
      </c>
    </row>
    <row r="1184" spans="2:6" x14ac:dyDescent="0.2">
      <c r="B1184" s="9" t="s">
        <v>2046</v>
      </c>
      <c r="C1184" s="15" t="s">
        <v>2047</v>
      </c>
      <c r="D1184" s="12" t="str">
        <f>"1931-3128"</f>
        <v>1931-3128</v>
      </c>
      <c r="E1184" s="5">
        <v>21.023</v>
      </c>
      <c r="F1184" s="5">
        <v>1</v>
      </c>
    </row>
    <row r="1185" spans="2:6" x14ac:dyDescent="0.2">
      <c r="B1185" s="9" t="s">
        <v>5094</v>
      </c>
      <c r="C1185" s="15" t="s">
        <v>5158</v>
      </c>
      <c r="D1185" s="12" t="str">
        <f>"1090-2163"</f>
        <v>1090-2163</v>
      </c>
      <c r="E1185" s="5">
        <v>4.8680000000000003</v>
      </c>
      <c r="F1185" s="5">
        <v>0.61699999999999999</v>
      </c>
    </row>
    <row r="1186" spans="2:6" x14ac:dyDescent="0.2">
      <c r="B1186" s="9" t="s">
        <v>8736</v>
      </c>
      <c r="C1186" s="15" t="s">
        <v>8737</v>
      </c>
      <c r="D1186" s="12" t="str">
        <f>"2228-5806"</f>
        <v>2228-5806</v>
      </c>
      <c r="E1186" s="5">
        <v>2.4790000000000001</v>
      </c>
      <c r="F1186" s="5">
        <v>0.21199999999999999</v>
      </c>
    </row>
    <row r="1187" spans="2:6" x14ac:dyDescent="0.2">
      <c r="B1187" s="9" t="s">
        <v>5095</v>
      </c>
      <c r="C1187" s="15" t="s">
        <v>5159</v>
      </c>
      <c r="D1187" s="12" t="str">
        <f>"1932-7420"</f>
        <v>1932-7420</v>
      </c>
      <c r="E1187" s="5">
        <v>27.286999999999999</v>
      </c>
      <c r="F1187" s="5">
        <v>0.98599999999999999</v>
      </c>
    </row>
    <row r="1188" spans="2:6" x14ac:dyDescent="0.2">
      <c r="B1188" s="9" t="s">
        <v>5096</v>
      </c>
      <c r="C1188" s="15" t="s">
        <v>5160</v>
      </c>
      <c r="D1188" s="12" t="str">
        <f>"1462-5822"</f>
        <v>1462-5822</v>
      </c>
      <c r="E1188" s="5">
        <v>3.7149999999999999</v>
      </c>
      <c r="F1188" s="5">
        <v>0.56299999999999994</v>
      </c>
    </row>
    <row r="1189" spans="2:6" x14ac:dyDescent="0.2">
      <c r="B1189" s="9" t="s">
        <v>2048</v>
      </c>
      <c r="C1189" s="15" t="s">
        <v>2049</v>
      </c>
      <c r="D1189" s="12" t="str">
        <f>"1865-5025"</f>
        <v>1865-5025</v>
      </c>
      <c r="E1189" s="5">
        <v>2.3210000000000002</v>
      </c>
      <c r="F1189" s="5">
        <v>0.31</v>
      </c>
    </row>
    <row r="1190" spans="2:6" x14ac:dyDescent="0.2">
      <c r="B1190" s="9" t="s">
        <v>5097</v>
      </c>
      <c r="C1190" s="15" t="s">
        <v>5161</v>
      </c>
      <c r="D1190" s="12" t="str">
        <f>"0145-5680"</f>
        <v>0145-5680</v>
      </c>
      <c r="E1190" s="5">
        <v>1.77</v>
      </c>
      <c r="F1190" s="5">
        <v>0.108</v>
      </c>
    </row>
    <row r="1191" spans="2:6" x14ac:dyDescent="0.2">
      <c r="B1191" s="9" t="s">
        <v>5098</v>
      </c>
      <c r="C1191" s="15" t="s">
        <v>5162</v>
      </c>
      <c r="D1191" s="12" t="str">
        <f>"1425-8153"</f>
        <v>1425-8153</v>
      </c>
      <c r="E1191" s="5">
        <v>5.7869999999999999</v>
      </c>
      <c r="F1191" s="5">
        <v>0.77</v>
      </c>
    </row>
    <row r="1192" spans="2:6" x14ac:dyDescent="0.2">
      <c r="B1192" s="9" t="s">
        <v>8738</v>
      </c>
      <c r="C1192" s="15" t="s">
        <v>8739</v>
      </c>
      <c r="D1192" s="12" t="str">
        <f>"2352-345X"</f>
        <v>2352-345X</v>
      </c>
      <c r="E1192" s="5">
        <v>9.2249999999999996</v>
      </c>
      <c r="F1192" s="5">
        <v>0.87</v>
      </c>
    </row>
    <row r="1193" spans="2:6" x14ac:dyDescent="0.2">
      <c r="B1193" s="9" t="s">
        <v>2050</v>
      </c>
      <c r="C1193" s="15" t="s">
        <v>2051</v>
      </c>
      <c r="D1193" s="12" t="str">
        <f>"1672-7681"</f>
        <v>1672-7681</v>
      </c>
      <c r="E1193" s="5">
        <v>11.53</v>
      </c>
      <c r="F1193" s="5">
        <v>0.93200000000000005</v>
      </c>
    </row>
    <row r="1194" spans="2:6" x14ac:dyDescent="0.2">
      <c r="B1194" s="9" t="s">
        <v>5099</v>
      </c>
      <c r="C1194" s="15" t="s">
        <v>5163</v>
      </c>
      <c r="D1194" s="12" t="str">
        <f>"1420-682X"</f>
        <v>1420-682X</v>
      </c>
      <c r="E1194" s="5">
        <v>9.2609999999999992</v>
      </c>
      <c r="F1194" s="5">
        <v>0.90200000000000002</v>
      </c>
    </row>
    <row r="1195" spans="2:6" x14ac:dyDescent="0.2">
      <c r="B1195" s="9" t="s">
        <v>5100</v>
      </c>
      <c r="C1195" s="15" t="s">
        <v>5164</v>
      </c>
      <c r="D1195" s="12" t="str">
        <f>"0272-4340"</f>
        <v>0272-4340</v>
      </c>
      <c r="E1195" s="5">
        <v>5.0460000000000003</v>
      </c>
      <c r="F1195" s="5">
        <v>0.70699999999999996</v>
      </c>
    </row>
    <row r="1196" spans="2:6" x14ac:dyDescent="0.2">
      <c r="B1196" s="9" t="s">
        <v>5101</v>
      </c>
      <c r="C1196" s="15" t="s">
        <v>5165</v>
      </c>
      <c r="D1196" s="12" t="str">
        <f>"2211-3428"</f>
        <v>2211-3428</v>
      </c>
      <c r="E1196" s="5">
        <v>6.73</v>
      </c>
      <c r="F1196" s="5">
        <v>0.92200000000000004</v>
      </c>
    </row>
    <row r="1197" spans="2:6" x14ac:dyDescent="0.2">
      <c r="B1197" s="9" t="s">
        <v>5102</v>
      </c>
      <c r="C1197" s="15" t="s">
        <v>5166</v>
      </c>
      <c r="D1197" s="12" t="str">
        <f>"0960-7722"</f>
        <v>0960-7722</v>
      </c>
      <c r="E1197" s="5">
        <v>6.8310000000000004</v>
      </c>
      <c r="F1197" s="5">
        <v>0.76700000000000002</v>
      </c>
    </row>
    <row r="1198" spans="2:6" x14ac:dyDescent="0.2">
      <c r="B1198" s="9" t="s">
        <v>8740</v>
      </c>
      <c r="C1198" s="15" t="s">
        <v>8741</v>
      </c>
      <c r="D1198" s="12" t="str">
        <f>"2211-1247"</f>
        <v>2211-1247</v>
      </c>
      <c r="E1198" s="5">
        <v>9.423</v>
      </c>
      <c r="F1198" s="5">
        <v>0.83399999999999996</v>
      </c>
    </row>
    <row r="1199" spans="2:6" x14ac:dyDescent="0.2">
      <c r="B1199" s="9" t="s">
        <v>8742</v>
      </c>
      <c r="C1199" s="15" t="s">
        <v>8743</v>
      </c>
      <c r="D1199" s="12" t="str">
        <f>"2152-4971"</f>
        <v>2152-4971</v>
      </c>
      <c r="E1199" s="5">
        <v>1.9870000000000001</v>
      </c>
      <c r="F1199" s="5">
        <v>0.223</v>
      </c>
    </row>
    <row r="1200" spans="2:6" x14ac:dyDescent="0.2">
      <c r="B1200" s="9" t="s">
        <v>5103</v>
      </c>
      <c r="C1200" s="15" t="s">
        <v>5167</v>
      </c>
      <c r="D1200" s="12" t="str">
        <f>"1001-0602"</f>
        <v>1001-0602</v>
      </c>
      <c r="E1200" s="5">
        <v>25.617000000000001</v>
      </c>
      <c r="F1200" s="5">
        <v>0.96399999999999997</v>
      </c>
    </row>
    <row r="1201" spans="2:6" x14ac:dyDescent="0.2">
      <c r="B1201" s="9" t="s">
        <v>8744</v>
      </c>
      <c r="C1201" s="15" t="s">
        <v>8745</v>
      </c>
      <c r="D1201" s="12" t="str">
        <f>"2073-4409"</f>
        <v>2073-4409</v>
      </c>
      <c r="E1201" s="5">
        <v>6.6</v>
      </c>
      <c r="F1201" s="5">
        <v>0.73099999999999998</v>
      </c>
    </row>
    <row r="1202" spans="2:6" x14ac:dyDescent="0.2">
      <c r="B1202" s="9" t="s">
        <v>5104</v>
      </c>
      <c r="C1202" s="15" t="s">
        <v>5168</v>
      </c>
      <c r="D1202" s="12" t="str">
        <f>"0898-6568"</f>
        <v>0898-6568</v>
      </c>
      <c r="E1202" s="5">
        <v>4.3150000000000004</v>
      </c>
      <c r="F1202" s="5">
        <v>0.46600000000000003</v>
      </c>
    </row>
    <row r="1203" spans="2:6" x14ac:dyDescent="0.2">
      <c r="B1203" s="9" t="s">
        <v>2052</v>
      </c>
      <c r="C1203" s="15" t="s">
        <v>2053</v>
      </c>
      <c r="D1203" s="12" t="str">
        <f>"1934-5909"</f>
        <v>1934-5909</v>
      </c>
      <c r="E1203" s="5">
        <v>24.632999999999999</v>
      </c>
      <c r="F1203" s="5">
        <v>1</v>
      </c>
    </row>
    <row r="1204" spans="2:6" x14ac:dyDescent="0.2">
      <c r="B1204" s="9" t="s">
        <v>5109</v>
      </c>
      <c r="C1204" s="15" t="s">
        <v>5109</v>
      </c>
      <c r="D1204" s="12" t="str">
        <f>"1422-6405"</f>
        <v>1422-6405</v>
      </c>
      <c r="E1204" s="5">
        <v>2.4809999999999999</v>
      </c>
      <c r="F1204" s="5">
        <v>0.71399999999999997</v>
      </c>
    </row>
    <row r="1205" spans="2:6" x14ac:dyDescent="0.2">
      <c r="B1205" s="9" t="s">
        <v>5105</v>
      </c>
      <c r="C1205" s="15" t="s">
        <v>5169</v>
      </c>
      <c r="D1205" s="12" t="str">
        <f>"1466-1268"</f>
        <v>1466-1268</v>
      </c>
      <c r="E1205" s="5">
        <v>3.6669999999999998</v>
      </c>
      <c r="F1205" s="5">
        <v>0.34200000000000003</v>
      </c>
    </row>
    <row r="1206" spans="2:6" x14ac:dyDescent="0.2">
      <c r="B1206" s="9" t="s">
        <v>5106</v>
      </c>
      <c r="C1206" s="15" t="s">
        <v>5170</v>
      </c>
      <c r="D1206" s="12" t="str">
        <f>"0386-7196"</f>
        <v>0386-7196</v>
      </c>
      <c r="E1206" s="5">
        <v>2.2120000000000002</v>
      </c>
      <c r="F1206" s="5">
        <v>0.155</v>
      </c>
    </row>
    <row r="1207" spans="2:6" x14ac:dyDescent="0.2">
      <c r="B1207" s="9" t="s">
        <v>8746</v>
      </c>
      <c r="C1207" s="15" t="s">
        <v>8747</v>
      </c>
      <c r="D1207" s="12" t="str">
        <f>"2405-4712"</f>
        <v>2405-4712</v>
      </c>
      <c r="E1207" s="5">
        <v>10.304</v>
      </c>
      <c r="F1207" s="5">
        <v>0.90900000000000003</v>
      </c>
    </row>
    <row r="1208" spans="2:6" x14ac:dyDescent="0.2">
      <c r="B1208" s="9" t="s">
        <v>8748</v>
      </c>
      <c r="C1208" s="15" t="s">
        <v>8749</v>
      </c>
      <c r="D1208" s="12" t="str">
        <f>"1389-9333"</f>
        <v>1389-9333</v>
      </c>
      <c r="E1208" s="5">
        <v>1.522</v>
      </c>
      <c r="F1208" s="5">
        <v>0.13800000000000001</v>
      </c>
    </row>
    <row r="1209" spans="2:6" x14ac:dyDescent="0.2">
      <c r="B1209" s="9" t="s">
        <v>5107</v>
      </c>
      <c r="C1209" s="15" t="s">
        <v>5171</v>
      </c>
      <c r="D1209" s="12" t="str">
        <f>"0302-766X"</f>
        <v>0302-766X</v>
      </c>
      <c r="E1209" s="5">
        <v>5.2489999999999997</v>
      </c>
      <c r="F1209" s="5">
        <v>0.622</v>
      </c>
    </row>
    <row r="1210" spans="2:6" x14ac:dyDescent="0.2">
      <c r="B1210" s="9" t="s">
        <v>5108</v>
      </c>
      <c r="C1210" s="15" t="s">
        <v>5172</v>
      </c>
      <c r="D1210" s="12" t="str">
        <f>"1555-3892"</f>
        <v>1555-3892</v>
      </c>
      <c r="E1210" s="5">
        <v>4.0640000000000001</v>
      </c>
      <c r="F1210" s="5">
        <v>0.72</v>
      </c>
    </row>
    <row r="1211" spans="2:6" x14ac:dyDescent="0.2">
      <c r="B1211" s="9" t="s">
        <v>8750</v>
      </c>
      <c r="C1211" s="15" t="s">
        <v>8750</v>
      </c>
      <c r="D1211" s="12" t="str">
        <f>"0008-8994"</f>
        <v>0008-8994</v>
      </c>
      <c r="E1211" s="5">
        <v>0.2</v>
      </c>
      <c r="F1211" s="5">
        <v>2.7E-2</v>
      </c>
    </row>
    <row r="1212" spans="2:6" x14ac:dyDescent="0.2">
      <c r="B1212" s="9" t="s">
        <v>8751</v>
      </c>
      <c r="C1212" s="15" t="s">
        <v>8752</v>
      </c>
      <c r="D1212" s="12" t="str">
        <f>"1426-3912"</f>
        <v>1426-3912</v>
      </c>
      <c r="E1212" s="5">
        <v>2.085</v>
      </c>
      <c r="F1212" s="5">
        <v>0.11700000000000001</v>
      </c>
    </row>
    <row r="1213" spans="2:6" x14ac:dyDescent="0.2">
      <c r="B1213" s="9" t="s">
        <v>8753</v>
      </c>
      <c r="C1213" s="15" t="s">
        <v>8754</v>
      </c>
      <c r="D1213" s="12" t="str">
        <f>"1210-7778"</f>
        <v>1210-7778</v>
      </c>
      <c r="E1213" s="5">
        <v>1.163</v>
      </c>
      <c r="F1213" s="5">
        <v>9.6000000000000002E-2</v>
      </c>
    </row>
    <row r="1214" spans="2:6" x14ac:dyDescent="0.2">
      <c r="B1214" s="9" t="s">
        <v>5110</v>
      </c>
      <c r="C1214" s="15" t="s">
        <v>5110</v>
      </c>
      <c r="D1214" s="12" t="str">
        <f>"0333-1024"</f>
        <v>0333-1024</v>
      </c>
      <c r="E1214" s="5">
        <v>6.2919999999999998</v>
      </c>
      <c r="F1214" s="5">
        <v>0.86499999999999999</v>
      </c>
    </row>
    <row r="1215" spans="2:6" x14ac:dyDescent="0.2">
      <c r="B1215" s="9" t="s">
        <v>5111</v>
      </c>
      <c r="C1215" s="15" t="s">
        <v>5173</v>
      </c>
      <c r="D1215" s="12" t="str">
        <f>"1047-3211"</f>
        <v>1047-3211</v>
      </c>
      <c r="E1215" s="5">
        <v>5.3570000000000002</v>
      </c>
      <c r="F1215" s="5">
        <v>0.75800000000000001</v>
      </c>
    </row>
    <row r="1216" spans="2:6" x14ac:dyDescent="0.2">
      <c r="B1216" s="9" t="s">
        <v>5112</v>
      </c>
      <c r="C1216" s="15" t="s">
        <v>5112</v>
      </c>
      <c r="D1216" s="12" t="str">
        <f>"1473-4222"</f>
        <v>1473-4222</v>
      </c>
      <c r="E1216" s="5">
        <v>3.847</v>
      </c>
      <c r="F1216" s="5">
        <v>0.54200000000000004</v>
      </c>
    </row>
    <row r="1217" spans="2:6" x14ac:dyDescent="0.2">
      <c r="B1217" s="9" t="s">
        <v>5113</v>
      </c>
      <c r="C1217" s="15" t="s">
        <v>5174</v>
      </c>
      <c r="D1217" s="12" t="str">
        <f>"1015-9770"</f>
        <v>1015-9770</v>
      </c>
      <c r="E1217" s="5">
        <v>2.762</v>
      </c>
      <c r="F1217" s="5">
        <v>0.41499999999999998</v>
      </c>
    </row>
    <row r="1218" spans="2:6" x14ac:dyDescent="0.2">
      <c r="B1218" s="9" t="s">
        <v>2054</v>
      </c>
      <c r="C1218" s="15" t="s">
        <v>2055</v>
      </c>
      <c r="D1218" s="12" t="str">
        <f>"0009-062X"</f>
        <v>0009-062X</v>
      </c>
      <c r="E1218" s="5">
        <v>0.47099999999999997</v>
      </c>
      <c r="F1218" s="5">
        <v>4.2999999999999997E-2</v>
      </c>
    </row>
    <row r="1219" spans="2:6" x14ac:dyDescent="0.2">
      <c r="B1219" s="9" t="s">
        <v>6400</v>
      </c>
      <c r="C1219" s="15" t="s">
        <v>5175</v>
      </c>
      <c r="D1219" s="12" t="str">
        <f>"1210-7859"</f>
        <v>1210-7859</v>
      </c>
      <c r="E1219" s="5">
        <v>0.35</v>
      </c>
      <c r="F1219" s="5">
        <v>1.4E-2</v>
      </c>
    </row>
    <row r="1220" spans="2:6" x14ac:dyDescent="0.2">
      <c r="B1220" s="9" t="s">
        <v>2056</v>
      </c>
      <c r="C1220" s="15" t="s">
        <v>2057</v>
      </c>
      <c r="D1220" s="12" t="str">
        <f>"1933-6950"</f>
        <v>1933-6950</v>
      </c>
      <c r="E1220" s="5">
        <v>2.581</v>
      </c>
      <c r="F1220" s="5">
        <v>0.25</v>
      </c>
    </row>
    <row r="1221" spans="2:6" x14ac:dyDescent="0.2">
      <c r="B1221" s="9" t="s">
        <v>2062</v>
      </c>
      <c r="C1221" s="15" t="s">
        <v>2063</v>
      </c>
      <c r="D1221" s="12" t="str">
        <f>"1861-4728"</f>
        <v>1861-4728</v>
      </c>
      <c r="E1221" s="5">
        <v>4.5679999999999996</v>
      </c>
      <c r="F1221" s="5">
        <v>0.66900000000000004</v>
      </c>
    </row>
    <row r="1222" spans="2:6" x14ac:dyDescent="0.2">
      <c r="B1222" s="9" t="s">
        <v>6420</v>
      </c>
      <c r="C1222" s="15" t="s">
        <v>6420</v>
      </c>
      <c r="D1222" s="12" t="str">
        <f>"1439-4227"</f>
        <v>1439-4227</v>
      </c>
      <c r="E1222" s="5">
        <v>3.1640000000000001</v>
      </c>
      <c r="F1222" s="5">
        <v>0.41899999999999998</v>
      </c>
    </row>
    <row r="1223" spans="2:6" x14ac:dyDescent="0.2">
      <c r="B1223" s="9" t="s">
        <v>6401</v>
      </c>
      <c r="C1223" s="15" t="s">
        <v>5176</v>
      </c>
      <c r="D1223" s="12" t="str">
        <f>"0352-9568"</f>
        <v>0352-9568</v>
      </c>
      <c r="E1223" s="5">
        <v>1.5820000000000001</v>
      </c>
      <c r="F1223" s="5">
        <v>0.29399999999999998</v>
      </c>
    </row>
    <row r="1224" spans="2:6" x14ac:dyDescent="0.2">
      <c r="B1224" s="9" t="s">
        <v>6402</v>
      </c>
      <c r="C1224" s="15" t="s">
        <v>5177</v>
      </c>
      <c r="D1224" s="12" t="str">
        <f>"1612-1872"</f>
        <v>1612-1872</v>
      </c>
      <c r="E1224" s="5">
        <v>2.4079999999999999</v>
      </c>
      <c r="F1224" s="5">
        <v>0.38800000000000001</v>
      </c>
    </row>
    <row r="1225" spans="2:6" x14ac:dyDescent="0.2">
      <c r="B1225" s="9" t="s">
        <v>6403</v>
      </c>
      <c r="C1225" s="15" t="s">
        <v>5178</v>
      </c>
      <c r="D1225" s="12" t="str">
        <f>"1747-0277"</f>
        <v>1747-0277</v>
      </c>
      <c r="E1225" s="5">
        <v>2.8170000000000002</v>
      </c>
      <c r="F1225" s="5">
        <v>0.33900000000000002</v>
      </c>
    </row>
    <row r="1226" spans="2:6" x14ac:dyDescent="0.2">
      <c r="B1226" s="9" t="s">
        <v>6421</v>
      </c>
      <c r="C1226" s="15" t="s">
        <v>3808</v>
      </c>
      <c r="D1226" s="12" t="str">
        <f>"0009-2797"</f>
        <v>0009-2797</v>
      </c>
      <c r="E1226" s="5">
        <v>5.1920000000000002</v>
      </c>
      <c r="F1226" s="5">
        <v>0.84899999999999998</v>
      </c>
    </row>
    <row r="1227" spans="2:6" x14ac:dyDescent="0.2">
      <c r="B1227" s="9" t="s">
        <v>2058</v>
      </c>
      <c r="C1227" s="15" t="s">
        <v>2059</v>
      </c>
      <c r="D1227" s="12" t="str">
        <f>"1752-153X"</f>
        <v>1752-153X</v>
      </c>
      <c r="E1227" s="5">
        <v>4.2149999999999999</v>
      </c>
      <c r="F1227" s="5">
        <v>0.64</v>
      </c>
    </row>
    <row r="1228" spans="2:6" x14ac:dyDescent="0.2">
      <c r="B1228" s="9" t="s">
        <v>6404</v>
      </c>
      <c r="C1228" s="15" t="s">
        <v>5179</v>
      </c>
      <c r="D1228" s="12" t="str">
        <f>"1359-7345"</f>
        <v>1359-7345</v>
      </c>
      <c r="E1228" s="5">
        <v>6.2220000000000004</v>
      </c>
      <c r="F1228" s="5">
        <v>0.75800000000000001</v>
      </c>
    </row>
    <row r="1229" spans="2:6" x14ac:dyDescent="0.2">
      <c r="B1229" s="9" t="s">
        <v>8755</v>
      </c>
      <c r="C1229" s="15" t="s">
        <v>8756</v>
      </c>
      <c r="D1229" s="12" t="str">
        <f>"1109-4028"</f>
        <v>1109-4028</v>
      </c>
      <c r="E1229" s="5">
        <v>2.9590000000000001</v>
      </c>
      <c r="F1229" s="5">
        <v>0.70499999999999996</v>
      </c>
    </row>
    <row r="1230" spans="2:6" x14ac:dyDescent="0.2">
      <c r="B1230" s="9" t="s">
        <v>6405</v>
      </c>
      <c r="C1230" s="15" t="s">
        <v>5180</v>
      </c>
      <c r="D1230" s="12" t="str">
        <f>"0009-2347"</f>
        <v>0009-2347</v>
      </c>
      <c r="E1230" s="5">
        <v>0.48099999999999998</v>
      </c>
      <c r="F1230" s="5">
        <v>7.6999999999999999E-2</v>
      </c>
    </row>
    <row r="1231" spans="2:6" x14ac:dyDescent="0.2">
      <c r="B1231" s="9" t="s">
        <v>6422</v>
      </c>
      <c r="C1231" s="15" t="s">
        <v>3809</v>
      </c>
      <c r="D1231" s="12" t="str">
        <f>"0947-6539"</f>
        <v>0947-6539</v>
      </c>
      <c r="E1231" s="5">
        <v>5.2359999999999998</v>
      </c>
      <c r="F1231" s="5">
        <v>0.71299999999999997</v>
      </c>
    </row>
    <row r="1232" spans="2:6" x14ac:dyDescent="0.2">
      <c r="B1232" s="9" t="s">
        <v>2060</v>
      </c>
      <c r="C1232" s="15" t="s">
        <v>2061</v>
      </c>
      <c r="D1232" s="12" t="str">
        <f>"0009-3122"</f>
        <v>0009-3122</v>
      </c>
      <c r="E1232" s="5">
        <v>1.2769999999999999</v>
      </c>
      <c r="F1232" s="5">
        <v>0.26300000000000001</v>
      </c>
    </row>
    <row r="1233" spans="2:6" x14ac:dyDescent="0.2">
      <c r="B1233" s="9" t="s">
        <v>2064</v>
      </c>
      <c r="C1233" s="15" t="s">
        <v>8757</v>
      </c>
      <c r="D1233" s="12" t="str">
        <f>"0235-7216"</f>
        <v>0235-7216</v>
      </c>
      <c r="E1233" s="5">
        <v>0.63600000000000001</v>
      </c>
      <c r="F1233" s="5">
        <v>7.9000000000000001E-2</v>
      </c>
    </row>
    <row r="1234" spans="2:6" x14ac:dyDescent="0.2">
      <c r="B1234" s="9" t="s">
        <v>8758</v>
      </c>
      <c r="C1234" s="15" t="s">
        <v>8759</v>
      </c>
      <c r="D1234" s="12" t="str">
        <f>"2191-1363"</f>
        <v>2191-1363</v>
      </c>
      <c r="E1234" s="5">
        <v>2.911</v>
      </c>
      <c r="F1234" s="5">
        <v>0.47799999999999998</v>
      </c>
    </row>
    <row r="1235" spans="2:6" x14ac:dyDescent="0.2">
      <c r="B1235" s="9" t="s">
        <v>8760</v>
      </c>
      <c r="C1235" s="15" t="s">
        <v>8761</v>
      </c>
      <c r="D1235" s="12" t="str">
        <f>"2365-6549"</f>
        <v>2365-6549</v>
      </c>
      <c r="E1235" s="5">
        <v>2.109</v>
      </c>
      <c r="F1235" s="5">
        <v>0.35399999999999998</v>
      </c>
    </row>
    <row r="1236" spans="2:6" x14ac:dyDescent="0.2">
      <c r="B1236" s="9" t="s">
        <v>6406</v>
      </c>
      <c r="C1236" s="15" t="s">
        <v>5181</v>
      </c>
      <c r="D1236" s="12" t="str">
        <f>"0251-0790"</f>
        <v>0251-0790</v>
      </c>
      <c r="E1236" s="5">
        <v>0.65</v>
      </c>
      <c r="F1236" s="5">
        <v>8.4000000000000005E-2</v>
      </c>
    </row>
    <row r="1237" spans="2:6" x14ac:dyDescent="0.2">
      <c r="B1237" s="9" t="s">
        <v>6407</v>
      </c>
      <c r="C1237" s="15" t="s">
        <v>5182</v>
      </c>
      <c r="D1237" s="12" t="str">
        <f>"0366-7022"</f>
        <v>0366-7022</v>
      </c>
      <c r="E1237" s="5">
        <v>1.389</v>
      </c>
      <c r="F1237" s="5">
        <v>0.247</v>
      </c>
    </row>
    <row r="1238" spans="2:6" x14ac:dyDescent="0.2">
      <c r="B1238" s="9" t="s">
        <v>6408</v>
      </c>
      <c r="C1238" s="15" t="s">
        <v>5183</v>
      </c>
      <c r="D1238" s="12" t="str">
        <f>"0009-2770"</f>
        <v>0009-2770</v>
      </c>
      <c r="E1238" s="5">
        <v>0.38100000000000001</v>
      </c>
      <c r="F1238" s="5">
        <v>2.8000000000000001E-2</v>
      </c>
    </row>
    <row r="1239" spans="2:6" x14ac:dyDescent="0.2">
      <c r="B1239" s="9" t="s">
        <v>2065</v>
      </c>
      <c r="C1239" s="15" t="s">
        <v>2066</v>
      </c>
      <c r="D1239" s="12" t="str">
        <f>"1860-7179"</f>
        <v>1860-7179</v>
      </c>
      <c r="E1239" s="5">
        <v>3.4660000000000002</v>
      </c>
      <c r="F1239" s="5">
        <v>0.505</v>
      </c>
    </row>
    <row r="1240" spans="2:6" x14ac:dyDescent="0.2">
      <c r="B1240" s="9" t="s">
        <v>8762</v>
      </c>
      <c r="C1240" s="15" t="s">
        <v>8763</v>
      </c>
      <c r="D1240" s="12" t="str">
        <f>"2199-692X"</f>
        <v>2199-692X</v>
      </c>
      <c r="E1240" s="5">
        <v>3.1539999999999999</v>
      </c>
      <c r="F1240" s="5">
        <v>0.51700000000000002</v>
      </c>
    </row>
    <row r="1241" spans="2:6" x14ac:dyDescent="0.2">
      <c r="B1241" s="9" t="s">
        <v>6409</v>
      </c>
      <c r="C1241" s="15" t="s">
        <v>5184</v>
      </c>
      <c r="D1241" s="12" t="str">
        <f>"0009-3130"</f>
        <v>0009-3130</v>
      </c>
      <c r="E1241" s="5">
        <v>0.80900000000000005</v>
      </c>
      <c r="F1241" s="5">
        <v>0.105</v>
      </c>
    </row>
    <row r="1242" spans="2:6" x14ac:dyDescent="0.2">
      <c r="B1242" s="9" t="s">
        <v>6423</v>
      </c>
      <c r="C1242" s="15" t="s">
        <v>6423</v>
      </c>
      <c r="D1242" s="12" t="str">
        <f>"0937-7409"</f>
        <v>0937-7409</v>
      </c>
      <c r="E1242" s="5">
        <v>1.7250000000000001</v>
      </c>
      <c r="F1242" s="5">
        <v>0.28299999999999997</v>
      </c>
    </row>
    <row r="1243" spans="2:6" x14ac:dyDescent="0.2">
      <c r="B1243" s="9" t="s">
        <v>6424</v>
      </c>
      <c r="C1243" s="15" t="s">
        <v>3810</v>
      </c>
      <c r="D1243" s="12" t="str">
        <f>"0169-7439"</f>
        <v>0169-7439</v>
      </c>
      <c r="E1243" s="5">
        <v>3.4910000000000001</v>
      </c>
      <c r="F1243" s="5">
        <v>0.88</v>
      </c>
    </row>
    <row r="1244" spans="2:6" x14ac:dyDescent="0.2">
      <c r="B1244" s="9" t="s">
        <v>8764</v>
      </c>
      <c r="C1244" s="15" t="s">
        <v>8765</v>
      </c>
      <c r="D1244" s="12" t="str">
        <f>"2227-9040"</f>
        <v>2227-9040</v>
      </c>
      <c r="E1244" s="5">
        <v>3.3980000000000001</v>
      </c>
      <c r="F1244" s="5">
        <v>0.73399999999999999</v>
      </c>
    </row>
    <row r="1245" spans="2:6" x14ac:dyDescent="0.2">
      <c r="B1245" s="9" t="s">
        <v>2067</v>
      </c>
      <c r="C1245" s="15" t="s">
        <v>2068</v>
      </c>
      <c r="D1245" s="12" t="str">
        <f>"1936-5802"</f>
        <v>1936-5802</v>
      </c>
      <c r="E1245" s="5">
        <v>1.833</v>
      </c>
      <c r="F1245" s="5">
        <v>0.25900000000000001</v>
      </c>
    </row>
    <row r="1246" spans="2:6" x14ac:dyDescent="0.2">
      <c r="B1246" s="9" t="s">
        <v>6425</v>
      </c>
      <c r="C1246" s="15" t="s">
        <v>6425</v>
      </c>
      <c r="D1246" s="12" t="str">
        <f>"0009-3157"</f>
        <v>0009-3157</v>
      </c>
      <c r="E1246" s="5">
        <v>2.544</v>
      </c>
      <c r="F1246" s="5">
        <v>0.29799999999999999</v>
      </c>
    </row>
    <row r="1247" spans="2:6" x14ac:dyDescent="0.2">
      <c r="B1247" s="9" t="s">
        <v>6410</v>
      </c>
      <c r="C1247" s="15" t="s">
        <v>5185</v>
      </c>
      <c r="D1247" s="12" t="str">
        <f>"2585-7290"</f>
        <v>2585-7290</v>
      </c>
      <c r="E1247" s="5">
        <v>2.097</v>
      </c>
      <c r="F1247" s="5">
        <v>0.34799999999999998</v>
      </c>
    </row>
    <row r="1248" spans="2:6" x14ac:dyDescent="0.2">
      <c r="B1248" s="9" t="s">
        <v>6411</v>
      </c>
      <c r="C1248" s="15" t="s">
        <v>5186</v>
      </c>
      <c r="D1248" s="12" t="str">
        <f>"0009-2363"</f>
        <v>0009-2363</v>
      </c>
      <c r="E1248" s="5">
        <v>1.645</v>
      </c>
      <c r="F1248" s="5">
        <v>0.28100000000000003</v>
      </c>
    </row>
    <row r="1249" spans="2:6" x14ac:dyDescent="0.2">
      <c r="B1249" s="9" t="s">
        <v>6412</v>
      </c>
      <c r="C1249" s="15" t="s">
        <v>5187</v>
      </c>
      <c r="D1249" s="12" t="str">
        <f>"0009-3084"</f>
        <v>0009-3084</v>
      </c>
      <c r="E1249" s="5">
        <v>3.3290000000000002</v>
      </c>
      <c r="F1249" s="5">
        <v>0.56299999999999994</v>
      </c>
    </row>
    <row r="1250" spans="2:6" x14ac:dyDescent="0.2">
      <c r="B1250" s="9" t="s">
        <v>8766</v>
      </c>
      <c r="C1250" s="15" t="s">
        <v>8767</v>
      </c>
      <c r="D1250" s="12" t="str">
        <f>"2192-6506"</f>
        <v>2192-6506</v>
      </c>
      <c r="E1250" s="5">
        <v>2.863</v>
      </c>
      <c r="F1250" s="5">
        <v>0.47199999999999998</v>
      </c>
    </row>
    <row r="1251" spans="2:6" x14ac:dyDescent="0.2">
      <c r="B1251" s="9" t="s">
        <v>6413</v>
      </c>
      <c r="C1251" s="15" t="s">
        <v>5188</v>
      </c>
      <c r="D1251" s="12" t="str">
        <f>"1527-8999"</f>
        <v>1527-8999</v>
      </c>
      <c r="E1251" s="5">
        <v>6.7709999999999999</v>
      </c>
      <c r="F1251" s="5">
        <v>0.78700000000000003</v>
      </c>
    </row>
    <row r="1252" spans="2:6" x14ac:dyDescent="0.2">
      <c r="B1252" s="9" t="s">
        <v>6414</v>
      </c>
      <c r="C1252" s="15" t="s">
        <v>5189</v>
      </c>
      <c r="D1252" s="12" t="str">
        <f>"1005-9040"</f>
        <v>1005-9040</v>
      </c>
      <c r="E1252" s="5">
        <v>1.3069999999999999</v>
      </c>
      <c r="F1252" s="5">
        <v>0.22500000000000001</v>
      </c>
    </row>
    <row r="1253" spans="2:6" x14ac:dyDescent="0.2">
      <c r="B1253" s="9" t="s">
        <v>6415</v>
      </c>
      <c r="C1253" s="15" t="s">
        <v>5190</v>
      </c>
      <c r="D1253" s="12" t="str">
        <f>"0893-228X"</f>
        <v>0893-228X</v>
      </c>
      <c r="E1253" s="5">
        <v>3.7389999999999999</v>
      </c>
      <c r="F1253" s="5">
        <v>0.60199999999999998</v>
      </c>
    </row>
    <row r="1254" spans="2:6" x14ac:dyDescent="0.2">
      <c r="B1254" s="9" t="s">
        <v>6416</v>
      </c>
      <c r="C1254" s="15" t="s">
        <v>5191</v>
      </c>
      <c r="D1254" s="12" t="str">
        <f>"0009-2665"</f>
        <v>0009-2665</v>
      </c>
      <c r="E1254" s="5">
        <v>60.622</v>
      </c>
      <c r="F1254" s="5">
        <v>1</v>
      </c>
    </row>
    <row r="1255" spans="2:6" x14ac:dyDescent="0.2">
      <c r="B1255" s="9" t="s">
        <v>8768</v>
      </c>
      <c r="C1255" s="15" t="s">
        <v>8769</v>
      </c>
      <c r="D1255" s="12" t="str">
        <f>"2041-6520"</f>
        <v>2041-6520</v>
      </c>
      <c r="E1255" s="5">
        <v>9.8249999999999993</v>
      </c>
      <c r="F1255" s="5">
        <v>0.88200000000000001</v>
      </c>
    </row>
    <row r="1256" spans="2:6" x14ac:dyDescent="0.2">
      <c r="B1256" s="9" t="s">
        <v>6417</v>
      </c>
      <c r="C1256" s="15" t="s">
        <v>5192</v>
      </c>
      <c r="D1256" s="12" t="str">
        <f>"0379-864X"</f>
        <v>0379-864X</v>
      </c>
      <c r="E1256" s="5">
        <v>3.16</v>
      </c>
      <c r="F1256" s="5">
        <v>0.623</v>
      </c>
    </row>
    <row r="1257" spans="2:6" x14ac:dyDescent="0.2">
      <c r="B1257" s="9" t="s">
        <v>6418</v>
      </c>
      <c r="C1257" s="15" t="s">
        <v>5193</v>
      </c>
      <c r="D1257" s="12" t="str">
        <f>"0306-0012"</f>
        <v>0306-0012</v>
      </c>
      <c r="E1257" s="5">
        <v>54.564</v>
      </c>
      <c r="F1257" s="5">
        <v>0.99399999999999999</v>
      </c>
    </row>
    <row r="1258" spans="2:6" x14ac:dyDescent="0.2">
      <c r="B1258" s="9" t="s">
        <v>2069</v>
      </c>
      <c r="C1258" s="15" t="s">
        <v>8770</v>
      </c>
      <c r="D1258" s="12" t="str">
        <f>"1864-5631"</f>
        <v>1864-5631</v>
      </c>
      <c r="E1258" s="5">
        <v>8.9280000000000008</v>
      </c>
      <c r="F1258" s="5">
        <v>0.92</v>
      </c>
    </row>
    <row r="1259" spans="2:6" x14ac:dyDescent="0.2">
      <c r="B1259" s="9" t="s">
        <v>6419</v>
      </c>
      <c r="C1259" s="15" t="s">
        <v>3807</v>
      </c>
      <c r="D1259" s="12" t="str">
        <f>"0009-2851"</f>
        <v>0009-2851</v>
      </c>
      <c r="E1259" s="5">
        <v>0.47299999999999998</v>
      </c>
      <c r="F1259" s="5">
        <v>4.4999999999999998E-2</v>
      </c>
    </row>
    <row r="1260" spans="2:6" x14ac:dyDescent="0.2">
      <c r="B1260" s="9" t="s">
        <v>8771</v>
      </c>
      <c r="C1260" s="15" t="s">
        <v>8772</v>
      </c>
      <c r="D1260" s="12" t="str">
        <f>"2451-9294"</f>
        <v>2451-9294</v>
      </c>
      <c r="E1260" s="5">
        <v>22.803999999999998</v>
      </c>
      <c r="F1260" s="5">
        <v>0.95499999999999996</v>
      </c>
    </row>
    <row r="1261" spans="2:6" x14ac:dyDescent="0.2">
      <c r="B1261" s="9" t="s">
        <v>6426</v>
      </c>
      <c r="C1261" s="15" t="s">
        <v>6426</v>
      </c>
      <c r="D1261" s="12" t="str">
        <f>"0012-3692"</f>
        <v>0012-3692</v>
      </c>
      <c r="E1261" s="5">
        <v>9.41</v>
      </c>
      <c r="F1261" s="5">
        <v>0.92200000000000004</v>
      </c>
    </row>
    <row r="1262" spans="2:6" x14ac:dyDescent="0.2">
      <c r="B1262" s="9" t="s">
        <v>8773</v>
      </c>
      <c r="C1262" s="15" t="s">
        <v>8774</v>
      </c>
      <c r="D1262" s="12" t="str">
        <f>"0125-2526"</f>
        <v>0125-2526</v>
      </c>
      <c r="E1262" s="5">
        <v>0.52300000000000002</v>
      </c>
      <c r="F1262" s="5">
        <v>6.9000000000000006E-2</v>
      </c>
    </row>
    <row r="1263" spans="2:6" x14ac:dyDescent="0.2">
      <c r="B1263" s="9" t="s">
        <v>2070</v>
      </c>
      <c r="C1263" s="15" t="s">
        <v>2071</v>
      </c>
      <c r="D1263" s="12" t="str">
        <f>"0145-2134"</f>
        <v>0145-2134</v>
      </c>
      <c r="E1263" s="5">
        <v>3.9279999999999999</v>
      </c>
      <c r="F1263" s="5">
        <v>0.97699999999999998</v>
      </c>
    </row>
    <row r="1264" spans="2:6" x14ac:dyDescent="0.2">
      <c r="B1264" s="9" t="s">
        <v>8775</v>
      </c>
      <c r="C1264" s="15" t="s">
        <v>8776</v>
      </c>
      <c r="D1264" s="12" t="str">
        <f>"1475-357X"</f>
        <v>1475-357X</v>
      </c>
      <c r="E1264" s="5">
        <v>2.1749999999999998</v>
      </c>
      <c r="F1264" s="5">
        <v>0.48799999999999999</v>
      </c>
    </row>
    <row r="1265" spans="2:6" x14ac:dyDescent="0.2">
      <c r="B1265" s="9" t="s">
        <v>2072</v>
      </c>
      <c r="C1265" s="15" t="s">
        <v>2073</v>
      </c>
      <c r="D1265" s="12" t="str">
        <f>"1056-4993"</f>
        <v>1056-4993</v>
      </c>
      <c r="E1265" s="5">
        <v>2.41</v>
      </c>
      <c r="F1265" s="5">
        <v>0.375</v>
      </c>
    </row>
    <row r="1266" spans="2:6" x14ac:dyDescent="0.2">
      <c r="B1266" s="9" t="s">
        <v>8777</v>
      </c>
      <c r="C1266" s="15" t="s">
        <v>8778</v>
      </c>
      <c r="D1266" s="12" t="str">
        <f>"1753-2000"</f>
        <v>1753-2000</v>
      </c>
      <c r="E1266" s="5">
        <v>3.0329999999999999</v>
      </c>
      <c r="F1266" s="5">
        <v>0.72099999999999997</v>
      </c>
    </row>
    <row r="1267" spans="2:6" x14ac:dyDescent="0.2">
      <c r="B1267" s="9" t="s">
        <v>6427</v>
      </c>
      <c r="C1267" s="15" t="s">
        <v>3811</v>
      </c>
      <c r="D1267" s="12" t="str">
        <f>"0305-1862"</f>
        <v>0305-1862</v>
      </c>
      <c r="E1267" s="5">
        <v>2.508</v>
      </c>
      <c r="F1267" s="5">
        <v>0.60499999999999998</v>
      </c>
    </row>
    <row r="1268" spans="2:6" x14ac:dyDescent="0.2">
      <c r="B1268" s="9" t="s">
        <v>2074</v>
      </c>
      <c r="C1268" s="15" t="s">
        <v>2075</v>
      </c>
      <c r="D1268" s="12" t="str">
        <f>"0009-3920"</f>
        <v>0009-3920</v>
      </c>
      <c r="E1268" s="5">
        <v>5.899</v>
      </c>
      <c r="F1268" s="5">
        <v>0.96699999999999997</v>
      </c>
    </row>
    <row r="1269" spans="2:6" x14ac:dyDescent="0.2">
      <c r="B1269" s="9" t="s">
        <v>8779</v>
      </c>
      <c r="C1269" s="15" t="s">
        <v>8780</v>
      </c>
      <c r="D1269" s="12" t="str">
        <f>"1750-8606"</f>
        <v>1750-8606</v>
      </c>
      <c r="E1269" s="5">
        <v>6.2210000000000001</v>
      </c>
      <c r="F1269" s="5">
        <v>0.94799999999999995</v>
      </c>
    </row>
    <row r="1270" spans="2:6" x14ac:dyDescent="0.2">
      <c r="B1270" s="9" t="s">
        <v>2076</v>
      </c>
      <c r="C1270" s="15" t="s">
        <v>2077</v>
      </c>
      <c r="D1270" s="12" t="str">
        <f>"0731-7107"</f>
        <v>0731-7107</v>
      </c>
      <c r="E1270" s="5">
        <v>0.95699999999999996</v>
      </c>
      <c r="F1270" s="5">
        <v>0.17399999999999999</v>
      </c>
    </row>
    <row r="1271" spans="2:6" x14ac:dyDescent="0.2">
      <c r="B1271" s="9" t="s">
        <v>2078</v>
      </c>
      <c r="C1271" s="15" t="s">
        <v>2079</v>
      </c>
      <c r="D1271" s="12" t="str">
        <f>"0273-9615"</f>
        <v>0273-9615</v>
      </c>
      <c r="E1271" s="5">
        <v>0.94299999999999995</v>
      </c>
      <c r="F1271" s="5">
        <v>6.5000000000000002E-2</v>
      </c>
    </row>
    <row r="1272" spans="2:6" x14ac:dyDescent="0.2">
      <c r="B1272" s="9" t="s">
        <v>2080</v>
      </c>
      <c r="C1272" s="15" t="s">
        <v>2081</v>
      </c>
      <c r="D1272" s="12" t="str">
        <f>"0907-5682"</f>
        <v>0907-5682</v>
      </c>
      <c r="E1272" s="5">
        <v>2.8639999999999999</v>
      </c>
      <c r="F1272" s="5">
        <v>0.76100000000000001</v>
      </c>
    </row>
    <row r="1273" spans="2:6" x14ac:dyDescent="0.2">
      <c r="B1273" s="9" t="s">
        <v>8781</v>
      </c>
      <c r="C1273" s="15" t="s">
        <v>8782</v>
      </c>
      <c r="D1273" s="12" t="str">
        <f>"1874-897X"</f>
        <v>1874-897X</v>
      </c>
      <c r="E1273" s="5">
        <v>2.42</v>
      </c>
      <c r="F1273" s="5">
        <v>0.65100000000000002</v>
      </c>
    </row>
    <row r="1274" spans="2:6" x14ac:dyDescent="0.2">
      <c r="B1274" s="9" t="s">
        <v>6428</v>
      </c>
      <c r="C1274" s="15" t="s">
        <v>3812</v>
      </c>
      <c r="D1274" s="12" t="str">
        <f>"0256-7040"</f>
        <v>0256-7040</v>
      </c>
      <c r="E1274" s="5">
        <v>1.4750000000000001</v>
      </c>
      <c r="F1274" s="5">
        <v>0.22500000000000001</v>
      </c>
    </row>
    <row r="1275" spans="2:6" x14ac:dyDescent="0.2">
      <c r="B1275" s="9" t="s">
        <v>6429</v>
      </c>
      <c r="C1275" s="15" t="s">
        <v>3813</v>
      </c>
      <c r="D1275" s="12" t="str">
        <f>"0929-7049"</f>
        <v>0929-7049</v>
      </c>
      <c r="E1275" s="5">
        <v>2.5</v>
      </c>
      <c r="F1275" s="5">
        <v>0.313</v>
      </c>
    </row>
    <row r="1276" spans="2:6" x14ac:dyDescent="0.2">
      <c r="B1276" s="9" t="s">
        <v>8783</v>
      </c>
      <c r="C1276" s="15" t="s">
        <v>8784</v>
      </c>
      <c r="D1276" s="12" t="str">
        <f>"2153-2168"</f>
        <v>2153-2168</v>
      </c>
      <c r="E1276" s="5">
        <v>2.992</v>
      </c>
      <c r="F1276" s="5">
        <v>0.70499999999999996</v>
      </c>
    </row>
    <row r="1277" spans="2:6" x14ac:dyDescent="0.2">
      <c r="B1277" s="9" t="s">
        <v>6430</v>
      </c>
      <c r="C1277" s="15" t="s">
        <v>3814</v>
      </c>
      <c r="D1277" s="12" t="str">
        <f>"0009-398X"</f>
        <v>0009-398X</v>
      </c>
      <c r="E1277" s="5">
        <v>2.35</v>
      </c>
      <c r="F1277" s="5">
        <v>0.45500000000000002</v>
      </c>
    </row>
    <row r="1278" spans="2:6" x14ac:dyDescent="0.2">
      <c r="B1278" s="9" t="s">
        <v>8785</v>
      </c>
      <c r="C1278" s="15" t="s">
        <v>8786</v>
      </c>
      <c r="D1278" s="12" t="str">
        <f>"2227-9067"</f>
        <v>2227-9067</v>
      </c>
      <c r="E1278" s="5">
        <v>2.863</v>
      </c>
      <c r="F1278" s="5">
        <v>0.69799999999999995</v>
      </c>
    </row>
    <row r="1279" spans="2:6" x14ac:dyDescent="0.2">
      <c r="B1279" s="9" t="s">
        <v>8787</v>
      </c>
      <c r="C1279" s="15" t="s">
        <v>8788</v>
      </c>
      <c r="D1279" s="12" t="str">
        <f>"1053-1890"</f>
        <v>1053-1890</v>
      </c>
      <c r="E1279" s="5">
        <v>1.5960000000000001</v>
      </c>
      <c r="F1279" s="5">
        <v>0.19500000000000001</v>
      </c>
    </row>
    <row r="1280" spans="2:6" x14ac:dyDescent="0.2">
      <c r="B1280" s="9" t="s">
        <v>6431</v>
      </c>
      <c r="C1280" s="15" t="s">
        <v>6431</v>
      </c>
      <c r="D1280" s="12" t="str">
        <f>"0009-4393"</f>
        <v>0009-4393</v>
      </c>
      <c r="E1280" s="5">
        <v>1.5089999999999999</v>
      </c>
      <c r="F1280" s="5">
        <v>0.25800000000000001</v>
      </c>
    </row>
    <row r="1281" spans="2:6" x14ac:dyDescent="0.2">
      <c r="B1281" s="9" t="s">
        <v>6432</v>
      </c>
      <c r="C1281" s="15" t="s">
        <v>3815</v>
      </c>
      <c r="D1281" s="12" t="str">
        <f>"0890-5487"</f>
        <v>0890-5487</v>
      </c>
      <c r="E1281" s="5">
        <v>1.2010000000000001</v>
      </c>
      <c r="F1281" s="5">
        <v>0.25</v>
      </c>
    </row>
    <row r="1282" spans="2:6" x14ac:dyDescent="0.2">
      <c r="B1282" s="9" t="s">
        <v>6433</v>
      </c>
      <c r="C1282" s="15" t="s">
        <v>3816</v>
      </c>
      <c r="D1282" s="12" t="str">
        <f>"1001-8417"</f>
        <v>1001-8417</v>
      </c>
      <c r="E1282" s="5">
        <v>6.7789999999999999</v>
      </c>
      <c r="F1282" s="5">
        <v>0.79200000000000004</v>
      </c>
    </row>
    <row r="1283" spans="2:6" x14ac:dyDescent="0.2">
      <c r="B1283" s="9" t="s">
        <v>6434</v>
      </c>
      <c r="C1283" s="15" t="s">
        <v>3817</v>
      </c>
      <c r="D1283" s="12" t="str">
        <f>"0253-3820"</f>
        <v>0253-3820</v>
      </c>
      <c r="E1283" s="5">
        <v>1.1339999999999999</v>
      </c>
      <c r="F1283" s="5">
        <v>8.4000000000000005E-2</v>
      </c>
    </row>
    <row r="1284" spans="2:6" x14ac:dyDescent="0.2">
      <c r="B1284" s="9" t="s">
        <v>2082</v>
      </c>
      <c r="C1284" s="15" t="s">
        <v>2083</v>
      </c>
      <c r="D1284" s="12" t="str">
        <f>"1000-9604"</f>
        <v>1000-9604</v>
      </c>
      <c r="E1284" s="5">
        <v>5.0869999999999997</v>
      </c>
      <c r="F1284" s="5">
        <v>0.63900000000000001</v>
      </c>
    </row>
    <row r="1285" spans="2:6" x14ac:dyDescent="0.2">
      <c r="B1285" s="9" t="s">
        <v>6435</v>
      </c>
      <c r="C1285" s="15" t="s">
        <v>3818</v>
      </c>
      <c r="D1285" s="12" t="str">
        <f>"1001-604X"</f>
        <v>1001-604X</v>
      </c>
      <c r="E1285" s="5">
        <v>6</v>
      </c>
      <c r="F1285" s="5">
        <v>0.73599999999999999</v>
      </c>
    </row>
    <row r="1286" spans="2:6" x14ac:dyDescent="0.2">
      <c r="B1286" s="9" t="s">
        <v>8789</v>
      </c>
      <c r="C1286" s="15" t="s">
        <v>8790</v>
      </c>
      <c r="D1286" s="12" t="str">
        <f>"0253-2786"</f>
        <v>0253-2786</v>
      </c>
      <c r="E1286" s="5">
        <v>1.6519999999999999</v>
      </c>
      <c r="F1286" s="5">
        <v>0.316</v>
      </c>
    </row>
    <row r="1287" spans="2:6" x14ac:dyDescent="0.2">
      <c r="B1287" s="9" t="s">
        <v>6436</v>
      </c>
      <c r="C1287" s="15" t="s">
        <v>3819</v>
      </c>
      <c r="D1287" s="12" t="str">
        <f>"0304-4920"</f>
        <v>0304-4920</v>
      </c>
      <c r="E1287" s="5">
        <v>1.764</v>
      </c>
      <c r="F1287" s="5">
        <v>0.14799999999999999</v>
      </c>
    </row>
    <row r="1288" spans="2:6" x14ac:dyDescent="0.2">
      <c r="B1288" s="9" t="s">
        <v>6437</v>
      </c>
      <c r="C1288" s="15" t="s">
        <v>3820</v>
      </c>
      <c r="D1288" s="12" t="str">
        <f>"0366-6999"</f>
        <v>0366-6999</v>
      </c>
      <c r="E1288" s="5">
        <v>2.6280000000000001</v>
      </c>
      <c r="F1288" s="5">
        <v>0.59899999999999998</v>
      </c>
    </row>
    <row r="1289" spans="2:6" x14ac:dyDescent="0.2">
      <c r="B1289" s="9" t="s">
        <v>8791</v>
      </c>
      <c r="C1289" s="15" t="s">
        <v>8792</v>
      </c>
      <c r="D1289" s="12" t="str">
        <f>"1672-0415"</f>
        <v>1672-0415</v>
      </c>
      <c r="E1289" s="5">
        <v>1.978</v>
      </c>
      <c r="F1289" s="5">
        <v>0.39300000000000002</v>
      </c>
    </row>
    <row r="1290" spans="2:6" x14ac:dyDescent="0.2">
      <c r="B1290" s="9" t="s">
        <v>8793</v>
      </c>
      <c r="C1290" s="15" t="s">
        <v>8794</v>
      </c>
      <c r="D1290" s="12" t="str">
        <f>"1000-9345"</f>
        <v>1000-9345</v>
      </c>
      <c r="E1290" s="5">
        <v>1.9359999999999999</v>
      </c>
      <c r="F1290" s="5">
        <v>0.39100000000000001</v>
      </c>
    </row>
    <row r="1291" spans="2:6" x14ac:dyDescent="0.2">
      <c r="B1291" s="9" t="s">
        <v>8795</v>
      </c>
      <c r="C1291" s="15" t="s">
        <v>8796</v>
      </c>
      <c r="D1291" s="12" t="str">
        <f>"2095-6975"</f>
        <v>2095-6975</v>
      </c>
      <c r="E1291" s="5">
        <v>3</v>
      </c>
      <c r="F1291" s="5">
        <v>0.64300000000000002</v>
      </c>
    </row>
    <row r="1292" spans="2:6" x14ac:dyDescent="0.2">
      <c r="B1292" s="9" t="s">
        <v>8797</v>
      </c>
      <c r="C1292" s="15" t="s">
        <v>8798</v>
      </c>
      <c r="D1292" s="12" t="str">
        <f>"1749-8546"</f>
        <v>1749-8546</v>
      </c>
      <c r="E1292" s="5">
        <v>5.4550000000000001</v>
      </c>
      <c r="F1292" s="5">
        <v>0.96399999999999997</v>
      </c>
    </row>
    <row r="1293" spans="2:6" x14ac:dyDescent="0.2">
      <c r="B1293" s="9" t="s">
        <v>8799</v>
      </c>
      <c r="C1293" s="15" t="s">
        <v>8800</v>
      </c>
      <c r="D1293" s="12" t="str">
        <f>"1671-7694"</f>
        <v>1671-7694</v>
      </c>
      <c r="E1293" s="5">
        <v>2.448</v>
      </c>
      <c r="F1293" s="5">
        <v>0.54500000000000004</v>
      </c>
    </row>
    <row r="1294" spans="2:6" x14ac:dyDescent="0.2">
      <c r="B1294" s="9" t="s">
        <v>6438</v>
      </c>
      <c r="C1294" s="15" t="s">
        <v>6438</v>
      </c>
      <c r="D1294" s="12" t="str">
        <f>"0899-0042"</f>
        <v>0899-0042</v>
      </c>
      <c r="E1294" s="5">
        <v>2.4369999999999998</v>
      </c>
      <c r="F1294" s="5">
        <v>0.50900000000000001</v>
      </c>
    </row>
    <row r="1295" spans="2:6" x14ac:dyDescent="0.2">
      <c r="B1295" s="9" t="s">
        <v>8801</v>
      </c>
      <c r="C1295" s="15" t="s">
        <v>8802</v>
      </c>
      <c r="D1295" s="12" t="str">
        <f>"2045-709X"</f>
        <v>2045-709X</v>
      </c>
      <c r="E1295" s="5">
        <v>2.073</v>
      </c>
      <c r="F1295" s="5">
        <v>0.46200000000000002</v>
      </c>
    </row>
    <row r="1296" spans="2:6" x14ac:dyDescent="0.2">
      <c r="B1296" s="9" t="s">
        <v>6439</v>
      </c>
      <c r="C1296" s="15" t="s">
        <v>6439</v>
      </c>
      <c r="D1296" s="12" t="str">
        <f>"0009-4722"</f>
        <v>0009-4722</v>
      </c>
      <c r="E1296" s="5">
        <v>0.95499999999999996</v>
      </c>
      <c r="F1296" s="5">
        <v>7.5999999999999998E-2</v>
      </c>
    </row>
    <row r="1297" spans="2:6" x14ac:dyDescent="0.2">
      <c r="B1297" s="9" t="s">
        <v>6440</v>
      </c>
      <c r="C1297" s="15" t="s">
        <v>6440</v>
      </c>
      <c r="D1297" s="12" t="str">
        <f>"0009-5893"</f>
        <v>0009-5893</v>
      </c>
      <c r="E1297" s="5">
        <v>2.044</v>
      </c>
      <c r="F1297" s="5">
        <v>0.26500000000000001</v>
      </c>
    </row>
    <row r="1298" spans="2:6" x14ac:dyDescent="0.2">
      <c r="B1298" s="9" t="s">
        <v>6441</v>
      </c>
      <c r="C1298" s="15" t="s">
        <v>6441</v>
      </c>
      <c r="D1298" s="12" t="str">
        <f>"0009-5915"</f>
        <v>0009-5915</v>
      </c>
      <c r="E1298" s="5">
        <v>4.3159999999999998</v>
      </c>
      <c r="F1298" s="5">
        <v>0.68600000000000005</v>
      </c>
    </row>
    <row r="1299" spans="2:6" x14ac:dyDescent="0.2">
      <c r="B1299" s="9" t="s">
        <v>6442</v>
      </c>
      <c r="C1299" s="15" t="s">
        <v>3821</v>
      </c>
      <c r="D1299" s="12" t="str">
        <f>"0967-3849"</f>
        <v>0967-3849</v>
      </c>
      <c r="E1299" s="5">
        <v>5.2389999999999999</v>
      </c>
      <c r="F1299" s="5">
        <v>0.8</v>
      </c>
    </row>
    <row r="1300" spans="2:6" x14ac:dyDescent="0.2">
      <c r="B1300" s="9" t="s">
        <v>8803</v>
      </c>
      <c r="C1300" s="15" t="s">
        <v>8804</v>
      </c>
      <c r="D1300" s="12" t="str">
        <f>"1742-3953"</f>
        <v>1742-3953</v>
      </c>
      <c r="E1300" s="5">
        <v>2.4089999999999998</v>
      </c>
      <c r="F1300" s="5">
        <v>0.52100000000000002</v>
      </c>
    </row>
    <row r="1301" spans="2:6" x14ac:dyDescent="0.2">
      <c r="B1301" s="9" t="s">
        <v>6443</v>
      </c>
      <c r="C1301" s="15" t="s">
        <v>3822</v>
      </c>
      <c r="D1301" s="12" t="str">
        <f>"0742-0528"</f>
        <v>0742-0528</v>
      </c>
      <c r="E1301" s="5">
        <v>2.8769999999999998</v>
      </c>
      <c r="F1301" s="5">
        <v>0.64500000000000002</v>
      </c>
    </row>
    <row r="1302" spans="2:6" x14ac:dyDescent="0.2">
      <c r="B1302" s="9" t="s">
        <v>8805</v>
      </c>
      <c r="C1302" s="15" t="s">
        <v>8806</v>
      </c>
      <c r="D1302" s="12" t="str">
        <f>"1479-9723"</f>
        <v>1479-9723</v>
      </c>
      <c r="E1302" s="5">
        <v>2.444</v>
      </c>
      <c r="F1302" s="5">
        <v>0.23400000000000001</v>
      </c>
    </row>
    <row r="1303" spans="2:6" x14ac:dyDescent="0.2">
      <c r="B1303" s="9" t="s">
        <v>8807</v>
      </c>
      <c r="C1303" s="15" t="s">
        <v>8808</v>
      </c>
      <c r="D1303" s="12" t="str">
        <f>"0103-8478"</f>
        <v>0103-8478</v>
      </c>
      <c r="E1303" s="5">
        <v>0.80300000000000005</v>
      </c>
      <c r="F1303" s="5">
        <v>0.187</v>
      </c>
    </row>
    <row r="1304" spans="2:6" x14ac:dyDescent="0.2">
      <c r="B1304" s="9" t="s">
        <v>8809</v>
      </c>
      <c r="C1304" s="15" t="s">
        <v>8810</v>
      </c>
      <c r="D1304" s="12" t="str">
        <f>"1413-8123"</f>
        <v>1413-8123</v>
      </c>
      <c r="E1304" s="5">
        <v>1.3360000000000001</v>
      </c>
      <c r="F1304" s="5">
        <v>0.15</v>
      </c>
    </row>
    <row r="1305" spans="2:6" x14ac:dyDescent="0.2">
      <c r="B1305" s="9" t="s">
        <v>6444</v>
      </c>
      <c r="C1305" s="15" t="s">
        <v>3823</v>
      </c>
      <c r="D1305" s="12" t="str">
        <f>"1538-2931"</f>
        <v>1538-2931</v>
      </c>
      <c r="E1305" s="5">
        <v>1.9850000000000001</v>
      </c>
      <c r="F1305" s="5">
        <v>0.54800000000000004</v>
      </c>
    </row>
    <row r="1306" spans="2:6" x14ac:dyDescent="0.2">
      <c r="B1306" s="9" t="s">
        <v>2086</v>
      </c>
      <c r="C1306" s="15" t="s">
        <v>2087</v>
      </c>
      <c r="D1306" s="12" t="str">
        <f>"1941-3149"</f>
        <v>1941-3149</v>
      </c>
      <c r="E1306" s="5">
        <v>6.5679999999999996</v>
      </c>
      <c r="F1306" s="5">
        <v>0.84399999999999997</v>
      </c>
    </row>
    <row r="1307" spans="2:6" x14ac:dyDescent="0.2">
      <c r="B1307" s="9" t="s">
        <v>2088</v>
      </c>
      <c r="C1307" s="15" t="s">
        <v>2089</v>
      </c>
      <c r="D1307" s="12" t="str">
        <f>"1941-9651"</f>
        <v>1941-9651</v>
      </c>
      <c r="E1307" s="5">
        <v>7.7919999999999998</v>
      </c>
      <c r="F1307" s="5">
        <v>0.94</v>
      </c>
    </row>
    <row r="1308" spans="2:6" x14ac:dyDescent="0.2">
      <c r="B1308" s="9" t="s">
        <v>8811</v>
      </c>
      <c r="C1308" s="15" t="s">
        <v>8812</v>
      </c>
      <c r="D1308" s="12" t="str">
        <f>"1941-7640"</f>
        <v>1941-7640</v>
      </c>
      <c r="E1308" s="5">
        <v>6.5460000000000003</v>
      </c>
      <c r="F1308" s="5">
        <v>0.83699999999999997</v>
      </c>
    </row>
    <row r="1309" spans="2:6" x14ac:dyDescent="0.2">
      <c r="B1309" s="9" t="s">
        <v>8813</v>
      </c>
      <c r="C1309" s="15" t="s">
        <v>8814</v>
      </c>
      <c r="D1309" s="12" t="str">
        <f>"1941-7705"</f>
        <v>1941-7705</v>
      </c>
      <c r="E1309" s="5">
        <v>5.8819999999999997</v>
      </c>
      <c r="F1309" s="5">
        <v>0.77300000000000002</v>
      </c>
    </row>
    <row r="1310" spans="2:6" x14ac:dyDescent="0.2">
      <c r="B1310" s="9" t="s">
        <v>8815</v>
      </c>
      <c r="C1310" s="15" t="s">
        <v>8816</v>
      </c>
      <c r="D1310" s="12" t="str">
        <f>"2574-8300"</f>
        <v>2574-8300</v>
      </c>
      <c r="E1310" s="5">
        <v>6.0540000000000003</v>
      </c>
      <c r="F1310" s="5">
        <v>0.86299999999999999</v>
      </c>
    </row>
    <row r="1311" spans="2:6" x14ac:dyDescent="0.2">
      <c r="B1311" s="9" t="s">
        <v>2090</v>
      </c>
      <c r="C1311" s="15" t="s">
        <v>2091</v>
      </c>
      <c r="D1311" s="12" t="str">
        <f>"1941-3289"</f>
        <v>1941-3289</v>
      </c>
      <c r="E1311" s="5">
        <v>8.7899999999999991</v>
      </c>
      <c r="F1311" s="5">
        <v>0.90100000000000002</v>
      </c>
    </row>
    <row r="1312" spans="2:6" x14ac:dyDescent="0.2">
      <c r="B1312" s="9" t="s">
        <v>2084</v>
      </c>
      <c r="C1312" s="15" t="s">
        <v>2085</v>
      </c>
      <c r="D1312" s="12" t="str">
        <f>"0009-7411"</f>
        <v>0009-7411</v>
      </c>
      <c r="E1312" s="5">
        <v>0.36099999999999999</v>
      </c>
      <c r="F1312" s="5">
        <v>1.9E-2</v>
      </c>
    </row>
    <row r="1313" spans="2:6" x14ac:dyDescent="0.2">
      <c r="B1313" s="9" t="s">
        <v>6445</v>
      </c>
      <c r="C1313" s="15" t="s">
        <v>3824</v>
      </c>
      <c r="D1313" s="12" t="str">
        <f>"1346-9843"</f>
        <v>1346-9843</v>
      </c>
      <c r="E1313" s="5">
        <v>2.9929999999999999</v>
      </c>
      <c r="F1313" s="5">
        <v>0.48199999999999998</v>
      </c>
    </row>
    <row r="1314" spans="2:6" x14ac:dyDescent="0.2">
      <c r="B1314" s="9" t="s">
        <v>6446</v>
      </c>
      <c r="C1314" s="15" t="s">
        <v>3825</v>
      </c>
      <c r="D1314" s="12" t="str">
        <f>"0009-7330"</f>
        <v>0009-7330</v>
      </c>
      <c r="E1314" s="5">
        <v>17.367000000000001</v>
      </c>
      <c r="F1314" s="5">
        <v>0.98499999999999999</v>
      </c>
    </row>
    <row r="1315" spans="2:6" x14ac:dyDescent="0.2">
      <c r="B1315" s="9" t="s">
        <v>6447</v>
      </c>
      <c r="C1315" s="15" t="s">
        <v>6447</v>
      </c>
      <c r="D1315" s="12" t="str">
        <f>"0009-7322"</f>
        <v>0009-7322</v>
      </c>
      <c r="E1315" s="5">
        <v>29.69</v>
      </c>
      <c r="F1315" s="5">
        <v>1</v>
      </c>
    </row>
    <row r="1316" spans="2:6" x14ac:dyDescent="0.2">
      <c r="B1316" s="9" t="s">
        <v>8817</v>
      </c>
      <c r="C1316" s="15" t="s">
        <v>8818</v>
      </c>
      <c r="D1316" s="12" t="str">
        <f>"0009-739X"</f>
        <v>0009-739X</v>
      </c>
      <c r="E1316" s="5">
        <v>1.653</v>
      </c>
      <c r="F1316" s="5">
        <v>0.25700000000000001</v>
      </c>
    </row>
    <row r="1317" spans="2:6" x14ac:dyDescent="0.2">
      <c r="B1317" s="9" t="s">
        <v>6448</v>
      </c>
      <c r="C1317" s="15" t="s">
        <v>3826</v>
      </c>
      <c r="D1317" s="12" t="str">
        <f>"1545-1569"</f>
        <v>1545-1569</v>
      </c>
      <c r="E1317" s="5">
        <v>1.4330000000000001</v>
      </c>
      <c r="F1317" s="5">
        <v>0.186</v>
      </c>
    </row>
    <row r="1318" spans="2:6" x14ac:dyDescent="0.2">
      <c r="B1318" s="9" t="s">
        <v>6449</v>
      </c>
      <c r="C1318" s="15" t="s">
        <v>3827</v>
      </c>
      <c r="D1318" s="12" t="str">
        <f>"0891-1150"</f>
        <v>0891-1150</v>
      </c>
      <c r="E1318" s="5">
        <v>2.3210000000000002</v>
      </c>
      <c r="F1318" s="5">
        <v>0.48499999999999999</v>
      </c>
    </row>
    <row r="1319" spans="2:6" x14ac:dyDescent="0.2">
      <c r="B1319" s="9" t="s">
        <v>6450</v>
      </c>
      <c r="C1319" s="15" t="s">
        <v>6450</v>
      </c>
      <c r="D1319" s="12" t="str">
        <f>"1369-7137"</f>
        <v>1369-7137</v>
      </c>
      <c r="E1319" s="5">
        <v>3.0049999999999999</v>
      </c>
      <c r="F1319" s="5">
        <v>0.61399999999999999</v>
      </c>
    </row>
    <row r="1320" spans="2:6" x14ac:dyDescent="0.2">
      <c r="B1320" s="9" t="s">
        <v>6451</v>
      </c>
      <c r="C1320" s="15" t="s">
        <v>3828</v>
      </c>
      <c r="D1320" s="12" t="str">
        <f>"0897-3806"</f>
        <v>0897-3806</v>
      </c>
      <c r="E1320" s="5">
        <v>2.4140000000000001</v>
      </c>
      <c r="F1320" s="5">
        <v>0.61899999999999999</v>
      </c>
    </row>
    <row r="1321" spans="2:6" x14ac:dyDescent="0.2">
      <c r="B1321" s="9" t="s">
        <v>6452</v>
      </c>
      <c r="C1321" s="15" t="s">
        <v>3829</v>
      </c>
      <c r="D1321" s="12" t="str">
        <f>"1076-0296"</f>
        <v>1076-0296</v>
      </c>
      <c r="E1321" s="5">
        <v>2.3889999999999998</v>
      </c>
      <c r="F1321" s="5">
        <v>0.308</v>
      </c>
    </row>
    <row r="1322" spans="2:6" x14ac:dyDescent="0.2">
      <c r="B1322" s="9" t="s">
        <v>6453</v>
      </c>
      <c r="C1322" s="15" t="s">
        <v>3830</v>
      </c>
      <c r="D1322" s="12" t="str">
        <f>"0959-9851"</f>
        <v>0959-9851</v>
      </c>
      <c r="E1322" s="5">
        <v>4.4349999999999996</v>
      </c>
      <c r="F1322" s="5">
        <v>0.71199999999999997</v>
      </c>
    </row>
    <row r="1323" spans="2:6" x14ac:dyDescent="0.2">
      <c r="B1323" s="9" t="s">
        <v>6454</v>
      </c>
      <c r="C1323" s="15" t="s">
        <v>3831</v>
      </c>
      <c r="D1323" s="12" t="str">
        <f>"0009-9120"</f>
        <v>0009-9120</v>
      </c>
      <c r="E1323" s="5">
        <v>3.2810000000000001</v>
      </c>
      <c r="F1323" s="5">
        <v>0.58599999999999997</v>
      </c>
    </row>
    <row r="1324" spans="2:6" x14ac:dyDescent="0.2">
      <c r="B1324" s="9" t="s">
        <v>6455</v>
      </c>
      <c r="C1324" s="15" t="s">
        <v>3832</v>
      </c>
      <c r="D1324" s="12" t="str">
        <f>"0268-0033"</f>
        <v>0268-0033</v>
      </c>
      <c r="E1324" s="5">
        <v>2.0630000000000002</v>
      </c>
      <c r="F1324" s="5">
        <v>0.37</v>
      </c>
    </row>
    <row r="1325" spans="2:6" x14ac:dyDescent="0.2">
      <c r="B1325" s="9" t="s">
        <v>2092</v>
      </c>
      <c r="C1325" s="15" t="s">
        <v>2093</v>
      </c>
      <c r="D1325" s="12" t="str">
        <f>"1526-8209"</f>
        <v>1526-8209</v>
      </c>
      <c r="E1325" s="5">
        <v>3.2250000000000001</v>
      </c>
      <c r="F1325" s="5">
        <v>0.28599999999999998</v>
      </c>
    </row>
    <row r="1326" spans="2:6" x14ac:dyDescent="0.2">
      <c r="B1326" s="9" t="s">
        <v>6456</v>
      </c>
      <c r="C1326" s="15" t="s">
        <v>3833</v>
      </c>
      <c r="D1326" s="12" t="str">
        <f>"1078-0432"</f>
        <v>1078-0432</v>
      </c>
      <c r="E1326" s="5">
        <v>12.531000000000001</v>
      </c>
      <c r="F1326" s="5">
        <v>0.92900000000000005</v>
      </c>
    </row>
    <row r="1327" spans="2:6" x14ac:dyDescent="0.2">
      <c r="B1327" s="9" t="s">
        <v>6457</v>
      </c>
      <c r="C1327" s="15" t="s">
        <v>3834</v>
      </c>
      <c r="D1327" s="12" t="str">
        <f>"0160-9289"</f>
        <v>0160-9289</v>
      </c>
      <c r="E1327" s="5">
        <v>2.8820000000000001</v>
      </c>
      <c r="F1327" s="5">
        <v>0.45400000000000001</v>
      </c>
    </row>
    <row r="1328" spans="2:6" x14ac:dyDescent="0.2">
      <c r="B1328" s="9" t="s">
        <v>8819</v>
      </c>
      <c r="C1328" s="15" t="s">
        <v>8820</v>
      </c>
      <c r="D1328" s="12" t="str">
        <f>"1534-6501"</f>
        <v>1534-6501</v>
      </c>
      <c r="E1328" s="5">
        <v>0.86899999999999999</v>
      </c>
      <c r="F1328" s="5">
        <v>8.7999999999999995E-2</v>
      </c>
    </row>
    <row r="1329" spans="2:6" x14ac:dyDescent="0.2">
      <c r="B1329" s="9" t="s">
        <v>6458</v>
      </c>
      <c r="C1329" s="15" t="s">
        <v>3835</v>
      </c>
      <c r="D1329" s="12" t="str">
        <f>"0009-9147"</f>
        <v>0009-9147</v>
      </c>
      <c r="E1329" s="5">
        <v>8.327</v>
      </c>
      <c r="F1329" s="5">
        <v>1</v>
      </c>
    </row>
    <row r="1330" spans="2:6" x14ac:dyDescent="0.2">
      <c r="B1330" s="9" t="s">
        <v>6459</v>
      </c>
      <c r="C1330" s="15" t="s">
        <v>3836</v>
      </c>
      <c r="D1330" s="12" t="str">
        <f>"1434-6621"</f>
        <v>1434-6621</v>
      </c>
      <c r="E1330" s="5">
        <v>3.694</v>
      </c>
      <c r="F1330" s="5">
        <v>0.75900000000000001</v>
      </c>
    </row>
    <row r="1331" spans="2:6" x14ac:dyDescent="0.2">
      <c r="B1331" s="9" t="s">
        <v>6460</v>
      </c>
      <c r="C1331" s="15" t="s">
        <v>3837</v>
      </c>
      <c r="D1331" s="12" t="str">
        <f>"0272-5231"</f>
        <v>0272-5231</v>
      </c>
      <c r="E1331" s="5">
        <v>2.8780000000000001</v>
      </c>
      <c r="F1331" s="5">
        <v>0.40600000000000003</v>
      </c>
    </row>
    <row r="1332" spans="2:6" x14ac:dyDescent="0.2">
      <c r="B1332" s="9" t="s">
        <v>2094</v>
      </c>
      <c r="C1332" s="15" t="s">
        <v>2095</v>
      </c>
      <c r="D1332" s="12" t="str">
        <f>"1096-4037"</f>
        <v>1096-4037</v>
      </c>
      <c r="E1332" s="5">
        <v>5.5739999999999998</v>
      </c>
      <c r="F1332" s="5">
        <v>0.90800000000000003</v>
      </c>
    </row>
    <row r="1333" spans="2:6" x14ac:dyDescent="0.2">
      <c r="B1333" s="9" t="s">
        <v>8821</v>
      </c>
      <c r="C1333" s="15" t="s">
        <v>8822</v>
      </c>
      <c r="D1333" s="12" t="str">
        <f>"1359-1045"</f>
        <v>1359-1045</v>
      </c>
      <c r="E1333" s="5">
        <v>2.544</v>
      </c>
      <c r="F1333" s="5">
        <v>0.54500000000000004</v>
      </c>
    </row>
    <row r="1334" spans="2:6" x14ac:dyDescent="0.2">
      <c r="B1334" s="9" t="s">
        <v>6461</v>
      </c>
      <c r="C1334" s="15" t="s">
        <v>3838</v>
      </c>
      <c r="D1334" s="12" t="str">
        <f>"0009-8981"</f>
        <v>0009-8981</v>
      </c>
      <c r="E1334" s="5">
        <v>3.786</v>
      </c>
      <c r="F1334" s="5">
        <v>0.79300000000000004</v>
      </c>
    </row>
    <row r="1335" spans="2:6" x14ac:dyDescent="0.2">
      <c r="B1335" s="9" t="s">
        <v>8823</v>
      </c>
      <c r="C1335" s="15" t="s">
        <v>8824</v>
      </c>
      <c r="D1335" s="12" t="str">
        <f>"1531-0043"</f>
        <v>1531-0043</v>
      </c>
      <c r="E1335" s="5">
        <v>2.3730000000000002</v>
      </c>
      <c r="F1335" s="5">
        <v>0.48599999999999999</v>
      </c>
    </row>
    <row r="1336" spans="2:6" x14ac:dyDescent="0.2">
      <c r="B1336" s="9" t="s">
        <v>2096</v>
      </c>
      <c r="C1336" s="15" t="s">
        <v>2097</v>
      </c>
      <c r="D1336" s="12" t="str">
        <f>"1938-0674"</f>
        <v>1938-0674</v>
      </c>
      <c r="E1336" s="5">
        <v>4.4809999999999999</v>
      </c>
      <c r="F1336" s="5">
        <v>0.56799999999999995</v>
      </c>
    </row>
    <row r="1337" spans="2:6" x14ac:dyDescent="0.2">
      <c r="B1337" s="9" t="s">
        <v>8825</v>
      </c>
      <c r="C1337" s="15" t="s">
        <v>8826</v>
      </c>
      <c r="D1337" s="12" t="str">
        <f>"1178-7015"</f>
        <v>1178-7015</v>
      </c>
      <c r="E1337" s="5">
        <v>2.4889999999999999</v>
      </c>
      <c r="F1337" s="5">
        <v>0.41199999999999998</v>
      </c>
    </row>
    <row r="1338" spans="2:6" x14ac:dyDescent="0.2">
      <c r="B1338" s="9" t="s">
        <v>6462</v>
      </c>
      <c r="C1338" s="15" t="s">
        <v>3839</v>
      </c>
      <c r="D1338" s="12" t="str">
        <f>"0738-081X"</f>
        <v>0738-081X</v>
      </c>
      <c r="E1338" s="5">
        <v>3.5409999999999999</v>
      </c>
      <c r="F1338" s="5">
        <v>0.69099999999999995</v>
      </c>
    </row>
    <row r="1339" spans="2:6" x14ac:dyDescent="0.2">
      <c r="B1339" s="9" t="s">
        <v>6463</v>
      </c>
      <c r="C1339" s="15" t="s">
        <v>3840</v>
      </c>
      <c r="D1339" s="12" t="str">
        <f>"1173-2563"</f>
        <v>1173-2563</v>
      </c>
      <c r="E1339" s="5">
        <v>2.859</v>
      </c>
      <c r="F1339" s="5">
        <v>0.375</v>
      </c>
    </row>
    <row r="1340" spans="2:6" x14ac:dyDescent="0.2">
      <c r="B1340" s="9" t="s">
        <v>6464</v>
      </c>
      <c r="C1340" s="15" t="s">
        <v>3841</v>
      </c>
      <c r="D1340" s="12" t="str">
        <f>"0962-8827"</f>
        <v>0962-8827</v>
      </c>
      <c r="E1340" s="5">
        <v>0.81599999999999995</v>
      </c>
      <c r="F1340" s="5">
        <v>6.3E-2</v>
      </c>
    </row>
    <row r="1341" spans="2:6" x14ac:dyDescent="0.2">
      <c r="B1341" s="9" t="s">
        <v>6465</v>
      </c>
      <c r="C1341" s="15" t="s">
        <v>3842</v>
      </c>
      <c r="D1341" s="12" t="str">
        <f>"1550-0594"</f>
        <v>1550-0594</v>
      </c>
      <c r="E1341" s="5">
        <v>1.843</v>
      </c>
      <c r="F1341" s="5">
        <v>0.25</v>
      </c>
    </row>
    <row r="1342" spans="2:6" x14ac:dyDescent="0.2">
      <c r="B1342" s="9" t="s">
        <v>6466</v>
      </c>
      <c r="C1342" s="15" t="s">
        <v>3843</v>
      </c>
      <c r="D1342" s="12" t="str">
        <f>"0300-0664"</f>
        <v>0300-0664</v>
      </c>
      <c r="E1342" s="5">
        <v>3.4780000000000002</v>
      </c>
      <c r="F1342" s="5">
        <v>0.39300000000000002</v>
      </c>
    </row>
    <row r="1343" spans="2:6" x14ac:dyDescent="0.2">
      <c r="B1343" s="9" t="s">
        <v>8827</v>
      </c>
      <c r="C1343" s="15" t="s">
        <v>8828</v>
      </c>
      <c r="D1343" s="12" t="str">
        <f>"1179-1349"</f>
        <v>1179-1349</v>
      </c>
      <c r="E1343" s="5">
        <v>4.79</v>
      </c>
      <c r="F1343" s="5">
        <v>0.86</v>
      </c>
    </row>
    <row r="1344" spans="2:6" x14ac:dyDescent="0.2">
      <c r="B1344" s="9" t="s">
        <v>8829</v>
      </c>
      <c r="C1344" s="15" t="s">
        <v>8830</v>
      </c>
      <c r="D1344" s="12" t="str">
        <f>"1868-7075"</f>
        <v>1868-7075</v>
      </c>
      <c r="E1344" s="5">
        <v>6.5510000000000002</v>
      </c>
      <c r="F1344" s="5">
        <v>0.88600000000000001</v>
      </c>
    </row>
    <row r="1345" spans="2:6" x14ac:dyDescent="0.2">
      <c r="B1345" s="9" t="s">
        <v>6467</v>
      </c>
      <c r="C1345" s="15" t="s">
        <v>3844</v>
      </c>
      <c r="D1345" s="12" t="str">
        <f>"0954-7894"</f>
        <v>0954-7894</v>
      </c>
      <c r="E1345" s="5">
        <v>5.0179999999999998</v>
      </c>
      <c r="F1345" s="5">
        <v>0.64800000000000002</v>
      </c>
    </row>
    <row r="1346" spans="2:6" x14ac:dyDescent="0.2">
      <c r="B1346" s="9" t="s">
        <v>6468</v>
      </c>
      <c r="C1346" s="15" t="s">
        <v>3845</v>
      </c>
      <c r="D1346" s="12" t="str">
        <f>"0307-6938"</f>
        <v>0307-6938</v>
      </c>
      <c r="E1346" s="5">
        <v>3.47</v>
      </c>
      <c r="F1346" s="5">
        <v>0.64700000000000002</v>
      </c>
    </row>
    <row r="1347" spans="2:6" x14ac:dyDescent="0.2">
      <c r="B1347" s="9" t="s">
        <v>6469</v>
      </c>
      <c r="C1347" s="15" t="s">
        <v>3846</v>
      </c>
      <c r="D1347" s="12" t="str">
        <f>"1064-1963"</f>
        <v>1064-1963</v>
      </c>
      <c r="E1347" s="5">
        <v>1.7490000000000001</v>
      </c>
      <c r="F1347" s="5">
        <v>0.153</v>
      </c>
    </row>
    <row r="1348" spans="2:6" x14ac:dyDescent="0.2">
      <c r="B1348" s="9" t="s">
        <v>6470</v>
      </c>
      <c r="C1348" s="15" t="s">
        <v>3847</v>
      </c>
      <c r="D1348" s="12" t="str">
        <f>"0009-9104"</f>
        <v>0009-9104</v>
      </c>
      <c r="E1348" s="5">
        <v>4.33</v>
      </c>
      <c r="F1348" s="5">
        <v>0.52500000000000002</v>
      </c>
    </row>
    <row r="1349" spans="2:6" x14ac:dyDescent="0.2">
      <c r="B1349" s="9" t="s">
        <v>6471</v>
      </c>
      <c r="C1349" s="15" t="s">
        <v>3848</v>
      </c>
      <c r="D1349" s="12" t="str">
        <f>"1591-9528"</f>
        <v>1591-9528</v>
      </c>
      <c r="E1349" s="5">
        <v>3.984</v>
      </c>
      <c r="F1349" s="5">
        <v>0.49299999999999999</v>
      </c>
    </row>
    <row r="1350" spans="2:6" x14ac:dyDescent="0.2">
      <c r="B1350" s="9" t="s">
        <v>6472</v>
      </c>
      <c r="C1350" s="15" t="s">
        <v>3849</v>
      </c>
      <c r="D1350" s="12" t="str">
        <f>"0262-0898"</f>
        <v>0262-0898</v>
      </c>
      <c r="E1350" s="5">
        <v>5.15</v>
      </c>
      <c r="F1350" s="5">
        <v>0.65100000000000002</v>
      </c>
    </row>
    <row r="1351" spans="2:6" x14ac:dyDescent="0.2">
      <c r="B1351" s="9" t="s">
        <v>8831</v>
      </c>
      <c r="C1351" s="15" t="s">
        <v>8832</v>
      </c>
      <c r="D1351" s="12" t="str">
        <f>"1342-1751"</f>
        <v>1342-1751</v>
      </c>
      <c r="E1351" s="5">
        <v>2.8010000000000002</v>
      </c>
      <c r="F1351" s="5">
        <v>0.46100000000000002</v>
      </c>
    </row>
    <row r="1352" spans="2:6" x14ac:dyDescent="0.2">
      <c r="B1352" s="9" t="s">
        <v>2098</v>
      </c>
      <c r="C1352" s="15" t="s">
        <v>2099</v>
      </c>
      <c r="D1352" s="12" t="str">
        <f>"0390-6663"</f>
        <v>0390-6663</v>
      </c>
      <c r="E1352" s="5">
        <v>0.14599999999999999</v>
      </c>
      <c r="F1352" s="5">
        <v>2.4E-2</v>
      </c>
    </row>
    <row r="1353" spans="2:6" x14ac:dyDescent="0.2">
      <c r="B1353" s="9" t="s">
        <v>6473</v>
      </c>
      <c r="C1353" s="15" t="s">
        <v>3850</v>
      </c>
      <c r="D1353" s="12" t="str">
        <f>"1442-6404"</f>
        <v>1442-6404</v>
      </c>
      <c r="E1353" s="5">
        <v>4.2069999999999999</v>
      </c>
      <c r="F1353" s="5">
        <v>0.83899999999999997</v>
      </c>
    </row>
    <row r="1354" spans="2:6" x14ac:dyDescent="0.2">
      <c r="B1354" s="9" t="s">
        <v>2100</v>
      </c>
      <c r="C1354" s="15" t="s">
        <v>2101</v>
      </c>
      <c r="D1354" s="12" t="str">
        <f>"0816-4622"</f>
        <v>0816-4622</v>
      </c>
      <c r="E1354" s="5">
        <v>2.742</v>
      </c>
      <c r="F1354" s="5">
        <v>0.53200000000000003</v>
      </c>
    </row>
    <row r="1355" spans="2:6" x14ac:dyDescent="0.2">
      <c r="B1355" s="9" t="s">
        <v>2102</v>
      </c>
      <c r="C1355" s="15" t="s">
        <v>2103</v>
      </c>
      <c r="D1355" s="12" t="str">
        <f>"1976-8710"</f>
        <v>1976-8710</v>
      </c>
      <c r="E1355" s="5">
        <v>3.3719999999999999</v>
      </c>
      <c r="F1355" s="5">
        <v>0.86399999999999999</v>
      </c>
    </row>
    <row r="1356" spans="2:6" x14ac:dyDescent="0.2">
      <c r="B1356" s="9" t="s">
        <v>6474</v>
      </c>
      <c r="C1356" s="15" t="s">
        <v>3851</v>
      </c>
      <c r="D1356" s="12" t="str">
        <f>"0305-1870"</f>
        <v>0305-1870</v>
      </c>
      <c r="E1356" s="5">
        <v>2.5569999999999999</v>
      </c>
      <c r="F1356" s="5">
        <v>0.40699999999999997</v>
      </c>
    </row>
    <row r="1357" spans="2:6" x14ac:dyDescent="0.2">
      <c r="B1357" s="9" t="s">
        <v>6475</v>
      </c>
      <c r="C1357" s="15" t="s">
        <v>3852</v>
      </c>
      <c r="D1357" s="12" t="str">
        <f>"0392-856X"</f>
        <v>0392-856X</v>
      </c>
      <c r="E1357" s="5">
        <v>4.4729999999999999</v>
      </c>
      <c r="F1357" s="5">
        <v>0.55900000000000005</v>
      </c>
    </row>
    <row r="1358" spans="2:6" x14ac:dyDescent="0.2">
      <c r="B1358" s="9" t="s">
        <v>2104</v>
      </c>
      <c r="C1358" s="15" t="s">
        <v>2105</v>
      </c>
      <c r="D1358" s="12" t="str">
        <f>"1542-3565"</f>
        <v>1542-3565</v>
      </c>
      <c r="E1358" s="5">
        <v>11.382</v>
      </c>
      <c r="F1358" s="5">
        <v>0.92400000000000004</v>
      </c>
    </row>
    <row r="1359" spans="2:6" x14ac:dyDescent="0.2">
      <c r="B1359" s="9" t="s">
        <v>5194</v>
      </c>
      <c r="C1359" s="15" t="s">
        <v>3853</v>
      </c>
      <c r="D1359" s="12" t="str">
        <f>"0009-9163"</f>
        <v>0009-9163</v>
      </c>
      <c r="E1359" s="5">
        <v>4.4379999999999997</v>
      </c>
      <c r="F1359" s="5">
        <v>0.69699999999999995</v>
      </c>
    </row>
    <row r="1360" spans="2:6" x14ac:dyDescent="0.2">
      <c r="B1360" s="9" t="s">
        <v>2106</v>
      </c>
      <c r="C1360" s="15" t="s">
        <v>2107</v>
      </c>
      <c r="D1360" s="12" t="str">
        <f>"1558-7673"</f>
        <v>1558-7673</v>
      </c>
      <c r="E1360" s="5">
        <v>2.8719999999999999</v>
      </c>
      <c r="F1360" s="5">
        <v>0.49399999999999999</v>
      </c>
    </row>
    <row r="1361" spans="2:6" x14ac:dyDescent="0.2">
      <c r="B1361" s="9" t="s">
        <v>5195</v>
      </c>
      <c r="C1361" s="15" t="s">
        <v>3854</v>
      </c>
      <c r="D1361" s="12" t="str">
        <f>"0749-0690"</f>
        <v>0749-0690</v>
      </c>
      <c r="E1361" s="5">
        <v>3.0760000000000001</v>
      </c>
      <c r="F1361" s="5">
        <v>0.35799999999999998</v>
      </c>
    </row>
    <row r="1362" spans="2:6" x14ac:dyDescent="0.2">
      <c r="B1362" s="9" t="s">
        <v>8833</v>
      </c>
      <c r="C1362" s="15" t="s">
        <v>8834</v>
      </c>
      <c r="D1362" s="12" t="str">
        <f>"0731-7115"</f>
        <v>0731-7115</v>
      </c>
      <c r="E1362" s="5">
        <v>2.6190000000000002</v>
      </c>
      <c r="F1362" s="5">
        <v>0.55600000000000005</v>
      </c>
    </row>
    <row r="1363" spans="2:6" x14ac:dyDescent="0.2">
      <c r="B1363" s="9" t="s">
        <v>5196</v>
      </c>
      <c r="C1363" s="15" t="s">
        <v>3855</v>
      </c>
      <c r="D1363" s="12" t="str">
        <f>"1386-0291"</f>
        <v>1386-0291</v>
      </c>
      <c r="E1363" s="5">
        <v>2.375</v>
      </c>
      <c r="F1363" s="5">
        <v>0.29199999999999998</v>
      </c>
    </row>
    <row r="1364" spans="2:6" x14ac:dyDescent="0.2">
      <c r="B1364" s="9" t="s">
        <v>2135</v>
      </c>
      <c r="C1364" s="15" t="s">
        <v>8835</v>
      </c>
      <c r="D1364" s="12" t="str">
        <f>"1807-5932"</f>
        <v>1807-5932</v>
      </c>
      <c r="E1364" s="5">
        <v>2.3650000000000002</v>
      </c>
      <c r="F1364" s="5">
        <v>0.49099999999999999</v>
      </c>
    </row>
    <row r="1365" spans="2:6" x14ac:dyDescent="0.2">
      <c r="B1365" s="9" t="s">
        <v>5197</v>
      </c>
      <c r="C1365" s="15" t="s">
        <v>3856</v>
      </c>
      <c r="D1365" s="12" t="str">
        <f>"0899-7071"</f>
        <v>0899-7071</v>
      </c>
      <c r="E1365" s="5">
        <v>1.605</v>
      </c>
      <c r="F1365" s="5">
        <v>0.16500000000000001</v>
      </c>
    </row>
    <row r="1366" spans="2:6" x14ac:dyDescent="0.2">
      <c r="B1366" s="9" t="s">
        <v>5198</v>
      </c>
      <c r="C1366" s="15" t="s">
        <v>3857</v>
      </c>
      <c r="D1366" s="12" t="str">
        <f>"1521-6616"</f>
        <v>1521-6616</v>
      </c>
      <c r="E1366" s="5">
        <v>3.9689999999999999</v>
      </c>
      <c r="F1366" s="5">
        <v>0.46300000000000002</v>
      </c>
    </row>
    <row r="1367" spans="2:6" x14ac:dyDescent="0.2">
      <c r="B1367" s="9" t="s">
        <v>2108</v>
      </c>
      <c r="C1367" s="15" t="s">
        <v>2109</v>
      </c>
      <c r="D1367" s="12" t="str">
        <f>"1523-0899"</f>
        <v>1523-0899</v>
      </c>
      <c r="E1367" s="5">
        <v>3.9319999999999999</v>
      </c>
      <c r="F1367" s="5">
        <v>0.81299999999999994</v>
      </c>
    </row>
    <row r="1368" spans="2:6" x14ac:dyDescent="0.2">
      <c r="B1368" s="9" t="s">
        <v>5199</v>
      </c>
      <c r="C1368" s="15" t="s">
        <v>3858</v>
      </c>
      <c r="D1368" s="12" t="str">
        <f>"1058-4838"</f>
        <v>1058-4838</v>
      </c>
      <c r="E1368" s="5">
        <v>9.0790000000000006</v>
      </c>
      <c r="F1368" s="5">
        <v>0.97799999999999998</v>
      </c>
    </row>
    <row r="1369" spans="2:6" x14ac:dyDescent="0.2">
      <c r="B1369" s="9" t="s">
        <v>8836</v>
      </c>
      <c r="C1369" s="15" t="s">
        <v>8837</v>
      </c>
      <c r="D1369" s="12" t="str">
        <f>"1178-1998"</f>
        <v>1178-1998</v>
      </c>
      <c r="E1369" s="5">
        <v>4.4580000000000002</v>
      </c>
      <c r="F1369" s="5">
        <v>0.69799999999999995</v>
      </c>
    </row>
    <row r="1370" spans="2:6" x14ac:dyDescent="0.2">
      <c r="B1370" s="9" t="s">
        <v>5200</v>
      </c>
      <c r="C1370" s="15" t="s">
        <v>3859</v>
      </c>
      <c r="D1370" s="12" t="str">
        <f>"0147-958X"</f>
        <v>0147-958X</v>
      </c>
      <c r="E1370" s="5">
        <v>0.82499999999999996</v>
      </c>
      <c r="F1370" s="5">
        <v>6.4000000000000001E-2</v>
      </c>
    </row>
    <row r="1371" spans="2:6" x14ac:dyDescent="0.2">
      <c r="B1371" s="9" t="s">
        <v>5201</v>
      </c>
      <c r="C1371" s="15" t="s">
        <v>3860</v>
      </c>
      <c r="D1371" s="12" t="str">
        <f>"1555-9041"</f>
        <v>1555-9041</v>
      </c>
      <c r="E1371" s="5">
        <v>8.2370000000000001</v>
      </c>
      <c r="F1371" s="5">
        <v>0.92100000000000004</v>
      </c>
    </row>
    <row r="1372" spans="2:6" x14ac:dyDescent="0.2">
      <c r="B1372" s="9" t="s">
        <v>8838</v>
      </c>
      <c r="C1372" s="15" t="s">
        <v>8839</v>
      </c>
      <c r="D1372" s="12" t="str">
        <f>"1092-1095"</f>
        <v>1092-1095</v>
      </c>
      <c r="E1372" s="5">
        <v>1.0269999999999999</v>
      </c>
      <c r="F1372" s="5">
        <v>0.14299999999999999</v>
      </c>
    </row>
    <row r="1373" spans="2:6" x14ac:dyDescent="0.2">
      <c r="B1373" s="9" t="s">
        <v>5202</v>
      </c>
      <c r="C1373" s="15" t="s">
        <v>3861</v>
      </c>
      <c r="D1373" s="12" t="str">
        <f>"0749-8047"</f>
        <v>0749-8047</v>
      </c>
      <c r="E1373" s="5">
        <v>3.4420000000000002</v>
      </c>
      <c r="F1373" s="5">
        <v>0.54500000000000004</v>
      </c>
    </row>
    <row r="1374" spans="2:6" x14ac:dyDescent="0.2">
      <c r="B1374" s="9" t="s">
        <v>5203</v>
      </c>
      <c r="C1374" s="15" t="s">
        <v>3862</v>
      </c>
      <c r="D1374" s="12" t="str">
        <f>"1536-3724"</f>
        <v>1536-3724</v>
      </c>
      <c r="E1374" s="5">
        <v>3.6379999999999999</v>
      </c>
      <c r="F1374" s="5">
        <v>0.79</v>
      </c>
    </row>
    <row r="1375" spans="2:6" x14ac:dyDescent="0.2">
      <c r="B1375" s="9" t="s">
        <v>8840</v>
      </c>
      <c r="C1375" s="15" t="s">
        <v>8841</v>
      </c>
      <c r="D1375" s="12" t="str">
        <f>"2048-8505"</f>
        <v>2048-8505</v>
      </c>
      <c r="E1375" s="5">
        <v>4.452</v>
      </c>
      <c r="F1375" s="5">
        <v>0.78700000000000003</v>
      </c>
    </row>
    <row r="1376" spans="2:6" x14ac:dyDescent="0.2">
      <c r="B1376" s="9" t="s">
        <v>2110</v>
      </c>
      <c r="C1376" s="15" t="s">
        <v>2111</v>
      </c>
      <c r="D1376" s="12" t="str">
        <f>"1433-6510"</f>
        <v>1433-6510</v>
      </c>
      <c r="E1376" s="5">
        <v>1.1379999999999999</v>
      </c>
      <c r="F1376" s="5">
        <v>0.17199999999999999</v>
      </c>
    </row>
    <row r="1377" spans="2:6" x14ac:dyDescent="0.2">
      <c r="B1377" s="9" t="s">
        <v>5204</v>
      </c>
      <c r="C1377" s="15" t="s">
        <v>3863</v>
      </c>
      <c r="D1377" s="12" t="str">
        <f>"0272-2712"</f>
        <v>0272-2712</v>
      </c>
      <c r="E1377" s="5">
        <v>1.9350000000000001</v>
      </c>
      <c r="F1377" s="5">
        <v>0.31</v>
      </c>
    </row>
    <row r="1378" spans="2:6" x14ac:dyDescent="0.2">
      <c r="B1378" s="9" t="s">
        <v>2112</v>
      </c>
      <c r="C1378" s="15" t="s">
        <v>2113</v>
      </c>
      <c r="D1378" s="12" t="str">
        <f>"0269-9206"</f>
        <v>0269-9206</v>
      </c>
      <c r="E1378" s="5">
        <v>1.3460000000000001</v>
      </c>
      <c r="F1378" s="5">
        <v>0.55700000000000005</v>
      </c>
    </row>
    <row r="1379" spans="2:6" x14ac:dyDescent="0.2">
      <c r="B1379" s="9" t="s">
        <v>8842</v>
      </c>
      <c r="C1379" s="15" t="s">
        <v>8843</v>
      </c>
      <c r="D1379" s="12" t="str">
        <f>"1089-3261"</f>
        <v>1089-3261</v>
      </c>
      <c r="E1379" s="5">
        <v>6.1260000000000003</v>
      </c>
      <c r="F1379" s="5">
        <v>0.78300000000000003</v>
      </c>
    </row>
    <row r="1380" spans="2:6" x14ac:dyDescent="0.2">
      <c r="B1380" s="9" t="s">
        <v>2114</v>
      </c>
      <c r="C1380" s="15" t="s">
        <v>2115</v>
      </c>
      <c r="D1380" s="12" t="str">
        <f>"1525-7304"</f>
        <v>1525-7304</v>
      </c>
      <c r="E1380" s="5">
        <v>4.7850000000000001</v>
      </c>
      <c r="F1380" s="5">
        <v>0.60599999999999998</v>
      </c>
    </row>
    <row r="1381" spans="2:6" x14ac:dyDescent="0.2">
      <c r="B1381" s="9" t="s">
        <v>8844</v>
      </c>
      <c r="C1381" s="15" t="s">
        <v>8845</v>
      </c>
      <c r="D1381" s="12" t="str">
        <f>"2376-9998"</f>
        <v>2376-9998</v>
      </c>
      <c r="E1381" s="5">
        <v>2.1459999999999999</v>
      </c>
      <c r="F1381" s="5">
        <v>0.41399999999999998</v>
      </c>
    </row>
    <row r="1382" spans="2:6" x14ac:dyDescent="0.2">
      <c r="B1382" s="9" t="s">
        <v>5205</v>
      </c>
      <c r="C1382" s="15" t="s">
        <v>3864</v>
      </c>
      <c r="D1382" s="12" t="str">
        <f>"1470-2118"</f>
        <v>1470-2118</v>
      </c>
      <c r="E1382" s="5">
        <v>2.6589999999999998</v>
      </c>
      <c r="F1382" s="5">
        <v>0.61099999999999999</v>
      </c>
    </row>
    <row r="1383" spans="2:6" x14ac:dyDescent="0.2">
      <c r="B1383" s="9" t="s">
        <v>8846</v>
      </c>
      <c r="C1383" s="15" t="s">
        <v>8847</v>
      </c>
      <c r="D1383" s="12" t="str">
        <f>"1179-5549"</f>
        <v>1179-5549</v>
      </c>
      <c r="E1383" s="5">
        <v>2.4119999999999999</v>
      </c>
      <c r="F1383" s="5">
        <v>0.129</v>
      </c>
    </row>
    <row r="1384" spans="2:6" x14ac:dyDescent="0.2">
      <c r="B1384" s="9" t="s">
        <v>5206</v>
      </c>
      <c r="C1384" s="15" t="s">
        <v>3865</v>
      </c>
      <c r="D1384" s="12" t="str">
        <f>"1198-743X"</f>
        <v>1198-743X</v>
      </c>
      <c r="E1384" s="5">
        <v>8.0670000000000002</v>
      </c>
      <c r="F1384" s="5">
        <v>0.95699999999999996</v>
      </c>
    </row>
    <row r="1385" spans="2:6" x14ac:dyDescent="0.2">
      <c r="B1385" s="9" t="s">
        <v>5207</v>
      </c>
      <c r="C1385" s="15" t="s">
        <v>3866</v>
      </c>
      <c r="D1385" s="12" t="str">
        <f>"0893-8512"</f>
        <v>0893-8512</v>
      </c>
      <c r="E1385" s="5">
        <v>26.132000000000001</v>
      </c>
      <c r="F1385" s="5">
        <v>0.99299999999999999</v>
      </c>
    </row>
    <row r="1386" spans="2:6" x14ac:dyDescent="0.2">
      <c r="B1386" s="9" t="s">
        <v>8848</v>
      </c>
      <c r="C1386" s="15" t="s">
        <v>8849</v>
      </c>
      <c r="D1386" s="12" t="str">
        <f>"2287-2728"</f>
        <v>2287-2728</v>
      </c>
      <c r="E1386" s="5">
        <v>6.0739999999999998</v>
      </c>
      <c r="F1386" s="5">
        <v>0.76100000000000001</v>
      </c>
    </row>
    <row r="1387" spans="2:6" x14ac:dyDescent="0.2">
      <c r="B1387" s="9" t="s">
        <v>5208</v>
      </c>
      <c r="C1387" s="15" t="s">
        <v>3867</v>
      </c>
      <c r="D1387" s="12" t="str">
        <f>"0301-0430"</f>
        <v>0301-0430</v>
      </c>
      <c r="E1387" s="5">
        <v>0.97499999999999998</v>
      </c>
      <c r="F1387" s="5">
        <v>0.10100000000000001</v>
      </c>
    </row>
    <row r="1388" spans="2:6" x14ac:dyDescent="0.2">
      <c r="B1388" s="9" t="s">
        <v>5209</v>
      </c>
      <c r="C1388" s="15" t="s">
        <v>3868</v>
      </c>
      <c r="D1388" s="12" t="str">
        <f>"0303-8467"</f>
        <v>0303-8467</v>
      </c>
      <c r="E1388" s="5">
        <v>1.8759999999999999</v>
      </c>
      <c r="F1388" s="5">
        <v>0.33300000000000002</v>
      </c>
    </row>
    <row r="1389" spans="2:6" x14ac:dyDescent="0.2">
      <c r="B1389" s="9" t="s">
        <v>5210</v>
      </c>
      <c r="C1389" s="15" t="s">
        <v>3869</v>
      </c>
      <c r="D1389" s="12" t="str">
        <f>"0722-5091"</f>
        <v>0722-5091</v>
      </c>
      <c r="E1389" s="5">
        <v>1.3680000000000001</v>
      </c>
      <c r="F1389" s="5">
        <v>0.182</v>
      </c>
    </row>
    <row r="1390" spans="2:6" x14ac:dyDescent="0.2">
      <c r="B1390" s="9" t="s">
        <v>5211</v>
      </c>
      <c r="C1390" s="15" t="s">
        <v>3870</v>
      </c>
      <c r="D1390" s="12" t="str">
        <f>"0362-5664"</f>
        <v>0362-5664</v>
      </c>
      <c r="E1390" s="5">
        <v>1.5920000000000001</v>
      </c>
      <c r="F1390" s="5">
        <v>0.113</v>
      </c>
    </row>
    <row r="1391" spans="2:6" x14ac:dyDescent="0.2">
      <c r="B1391" s="9" t="s">
        <v>5212</v>
      </c>
      <c r="C1391" s="15" t="s">
        <v>3871</v>
      </c>
      <c r="D1391" s="12" t="str">
        <f>"1388-2457"</f>
        <v>1388-2457</v>
      </c>
      <c r="E1391" s="5">
        <v>3.7080000000000002</v>
      </c>
      <c r="F1391" s="5">
        <v>0.61499999999999999</v>
      </c>
    </row>
    <row r="1392" spans="2:6" x14ac:dyDescent="0.2">
      <c r="B1392" s="9" t="s">
        <v>5213</v>
      </c>
      <c r="C1392" s="15" t="s">
        <v>3872</v>
      </c>
      <c r="D1392" s="12" t="str">
        <f>"1385-4046"</f>
        <v>1385-4046</v>
      </c>
      <c r="E1392" s="5">
        <v>3.5350000000000001</v>
      </c>
      <c r="F1392" s="5">
        <v>0.76600000000000001</v>
      </c>
    </row>
    <row r="1393" spans="2:6" x14ac:dyDescent="0.2">
      <c r="B1393" s="9" t="s">
        <v>8850</v>
      </c>
      <c r="C1393" s="15" t="s">
        <v>8851</v>
      </c>
      <c r="D1393" s="12" t="str">
        <f>"0939-7116"</f>
        <v>0939-7116</v>
      </c>
      <c r="E1393" s="5">
        <v>3.649</v>
      </c>
      <c r="F1393" s="5">
        <v>0.68400000000000005</v>
      </c>
    </row>
    <row r="1394" spans="2:6" x14ac:dyDescent="0.2">
      <c r="B1394" s="9" t="s">
        <v>5214</v>
      </c>
      <c r="C1394" s="15" t="s">
        <v>3873</v>
      </c>
      <c r="D1394" s="12" t="str">
        <f>"0363-9762"</f>
        <v>0363-9762</v>
      </c>
      <c r="E1394" s="5">
        <v>7.7939999999999996</v>
      </c>
      <c r="F1394" s="5">
        <v>0.94699999999999995</v>
      </c>
    </row>
    <row r="1395" spans="2:6" x14ac:dyDescent="0.2">
      <c r="B1395" s="9" t="s">
        <v>2116</v>
      </c>
      <c r="C1395" s="15" t="s">
        <v>2117</v>
      </c>
      <c r="D1395" s="12" t="str">
        <f>"0887-6274"</f>
        <v>0887-6274</v>
      </c>
      <c r="E1395" s="5">
        <v>1.0669999999999999</v>
      </c>
      <c r="F1395" s="5">
        <v>0.151</v>
      </c>
    </row>
    <row r="1396" spans="2:6" x14ac:dyDescent="0.2">
      <c r="B1396" s="9" t="s">
        <v>8852</v>
      </c>
      <c r="C1396" s="15" t="s">
        <v>8853</v>
      </c>
      <c r="D1396" s="12" t="str">
        <f>"1054-7738"</f>
        <v>1054-7738</v>
      </c>
      <c r="E1396" s="5">
        <v>2.0750000000000002</v>
      </c>
      <c r="F1396" s="5">
        <v>0.56299999999999994</v>
      </c>
    </row>
    <row r="1397" spans="2:6" x14ac:dyDescent="0.2">
      <c r="B1397" s="9" t="s">
        <v>5553</v>
      </c>
      <c r="C1397" s="15" t="s">
        <v>3874</v>
      </c>
      <c r="D1397" s="12" t="str">
        <f>"0261-5614"</f>
        <v>0261-5614</v>
      </c>
      <c r="E1397" s="5">
        <v>7.3239999999999998</v>
      </c>
      <c r="F1397" s="5">
        <v>0.93200000000000005</v>
      </c>
    </row>
    <row r="1398" spans="2:6" x14ac:dyDescent="0.2">
      <c r="B1398" s="9" t="s">
        <v>5554</v>
      </c>
      <c r="C1398" s="15" t="s">
        <v>3875</v>
      </c>
      <c r="D1398" s="12" t="str">
        <f>"0009-9201"</f>
        <v>0009-9201</v>
      </c>
      <c r="E1398" s="5">
        <v>2.19</v>
      </c>
      <c r="F1398" s="5">
        <v>0.33700000000000002</v>
      </c>
    </row>
    <row r="1399" spans="2:6" x14ac:dyDescent="0.2">
      <c r="B1399" s="9" t="s">
        <v>5555</v>
      </c>
      <c r="C1399" s="15" t="s">
        <v>3876</v>
      </c>
      <c r="D1399" s="12" t="str">
        <f>"0936-6555"</f>
        <v>0936-6555</v>
      </c>
      <c r="E1399" s="5">
        <v>4.1260000000000003</v>
      </c>
      <c r="F1399" s="5">
        <v>0.49399999999999999</v>
      </c>
    </row>
    <row r="1400" spans="2:6" x14ac:dyDescent="0.2">
      <c r="B1400" s="9" t="s">
        <v>5556</v>
      </c>
      <c r="C1400" s="15" t="s">
        <v>3877</v>
      </c>
      <c r="D1400" s="12" t="str">
        <f>"0905-7161"</f>
        <v>0905-7161</v>
      </c>
      <c r="E1400" s="5">
        <v>5.9770000000000003</v>
      </c>
      <c r="F1400" s="5">
        <v>0.94499999999999995</v>
      </c>
    </row>
    <row r="1401" spans="2:6" x14ac:dyDescent="0.2">
      <c r="B1401" s="9" t="s">
        <v>2118</v>
      </c>
      <c r="C1401" s="15" t="s">
        <v>2119</v>
      </c>
      <c r="D1401" s="12" t="str">
        <f>"1432-6981"</f>
        <v>1432-6981</v>
      </c>
      <c r="E1401" s="5">
        <v>3.573</v>
      </c>
      <c r="F1401" s="5">
        <v>0.78</v>
      </c>
    </row>
    <row r="1402" spans="2:6" x14ac:dyDescent="0.2">
      <c r="B1402" s="9" t="s">
        <v>5557</v>
      </c>
      <c r="C1402" s="15" t="s">
        <v>3878</v>
      </c>
      <c r="D1402" s="12" t="str">
        <f>"0009-921X"</f>
        <v>0009-921X</v>
      </c>
      <c r="E1402" s="5">
        <v>4.1760000000000002</v>
      </c>
      <c r="F1402" s="5">
        <v>0.84</v>
      </c>
    </row>
    <row r="1403" spans="2:6" x14ac:dyDescent="0.2">
      <c r="B1403" s="9" t="s">
        <v>2120</v>
      </c>
      <c r="C1403" s="15" t="s">
        <v>3879</v>
      </c>
      <c r="D1403" s="12" t="str">
        <f>"1749-4478"</f>
        <v>1749-4478</v>
      </c>
      <c r="E1403" s="5">
        <v>2.597</v>
      </c>
      <c r="F1403" s="5">
        <v>0.70499999999999996</v>
      </c>
    </row>
    <row r="1404" spans="2:6" x14ac:dyDescent="0.2">
      <c r="B1404" s="9" t="s">
        <v>5558</v>
      </c>
      <c r="C1404" s="15" t="s">
        <v>3880</v>
      </c>
      <c r="D1404" s="12" t="str">
        <f>"1938-2707"</f>
        <v>1938-2707</v>
      </c>
      <c r="E1404" s="5">
        <v>1.1679999999999999</v>
      </c>
      <c r="F1404" s="5">
        <v>0.11600000000000001</v>
      </c>
    </row>
    <row r="1405" spans="2:6" x14ac:dyDescent="0.2">
      <c r="B1405" s="9" t="s">
        <v>5559</v>
      </c>
      <c r="C1405" s="15" t="s">
        <v>3881</v>
      </c>
      <c r="D1405" s="12" t="str">
        <f>"0095-5108"</f>
        <v>0095-5108</v>
      </c>
      <c r="E1405" s="5">
        <v>3.43</v>
      </c>
      <c r="F1405" s="5">
        <v>0.82899999999999996</v>
      </c>
    </row>
    <row r="1406" spans="2:6" x14ac:dyDescent="0.2">
      <c r="B1406" s="9" t="s">
        <v>5560</v>
      </c>
      <c r="C1406" s="15" t="s">
        <v>3882</v>
      </c>
      <c r="D1406" s="12" t="str">
        <f>"0312-5963"</f>
        <v>0312-5963</v>
      </c>
      <c r="E1406" s="5">
        <v>6.4470000000000001</v>
      </c>
      <c r="F1406" s="5">
        <v>0.90900000000000003</v>
      </c>
    </row>
    <row r="1407" spans="2:6" x14ac:dyDescent="0.2">
      <c r="B1407" s="9" t="s">
        <v>5561</v>
      </c>
      <c r="C1407" s="15" t="s">
        <v>3883</v>
      </c>
      <c r="D1407" s="12" t="str">
        <f>"0009-9236"</f>
        <v>0009-9236</v>
      </c>
      <c r="E1407" s="5">
        <v>6.875</v>
      </c>
      <c r="F1407" s="5">
        <v>0.93100000000000005</v>
      </c>
    </row>
    <row r="1408" spans="2:6" x14ac:dyDescent="0.2">
      <c r="B1408" s="9" t="s">
        <v>8854</v>
      </c>
      <c r="C1408" s="15" t="s">
        <v>8855</v>
      </c>
      <c r="D1408" s="12" t="str">
        <f>"2160-7648"</f>
        <v>2160-7648</v>
      </c>
      <c r="E1408" s="5">
        <v>2.448</v>
      </c>
      <c r="F1408" s="5">
        <v>0.27600000000000002</v>
      </c>
    </row>
    <row r="1409" spans="2:6" x14ac:dyDescent="0.2">
      <c r="B1409" s="9" t="s">
        <v>5562</v>
      </c>
      <c r="C1409" s="15" t="s">
        <v>3884</v>
      </c>
      <c r="D1409" s="12" t="str">
        <f>"1475-0961"</f>
        <v>1475-0961</v>
      </c>
      <c r="E1409" s="5">
        <v>2.2730000000000001</v>
      </c>
      <c r="F1409" s="5">
        <v>0.32100000000000001</v>
      </c>
    </row>
    <row r="1410" spans="2:6" x14ac:dyDescent="0.2">
      <c r="B1410" s="9" t="s">
        <v>5563</v>
      </c>
      <c r="C1410" s="15" t="s">
        <v>3885</v>
      </c>
      <c r="D1410" s="12" t="str">
        <f>"0094-1298"</f>
        <v>0094-1298</v>
      </c>
      <c r="E1410" s="5">
        <v>2.0169999999999999</v>
      </c>
      <c r="F1410" s="5">
        <v>0.376</v>
      </c>
    </row>
    <row r="1411" spans="2:6" x14ac:dyDescent="0.2">
      <c r="B1411" s="9" t="s">
        <v>8856</v>
      </c>
      <c r="C1411" s="15" t="s">
        <v>8857</v>
      </c>
      <c r="D1411" s="12" t="str">
        <f>"0891-8422"</f>
        <v>0891-8422</v>
      </c>
      <c r="E1411" s="5">
        <v>1.2310000000000001</v>
      </c>
      <c r="F1411" s="5">
        <v>0.17299999999999999</v>
      </c>
    </row>
    <row r="1412" spans="2:6" x14ac:dyDescent="0.2">
      <c r="B1412" s="9" t="s">
        <v>8858</v>
      </c>
      <c r="C1412" s="15" t="s">
        <v>8859</v>
      </c>
      <c r="D1412" s="12" t="str">
        <f>"1559-0275"</f>
        <v>1559-0275</v>
      </c>
      <c r="E1412" s="5">
        <v>3.988</v>
      </c>
      <c r="F1412" s="5">
        <v>0.72699999999999998</v>
      </c>
    </row>
    <row r="1413" spans="2:6" x14ac:dyDescent="0.2">
      <c r="B1413" s="9" t="s">
        <v>2121</v>
      </c>
      <c r="C1413" s="15" t="s">
        <v>2122</v>
      </c>
      <c r="D1413" s="12" t="str">
        <f>"1063-3995"</f>
        <v>1063-3995</v>
      </c>
      <c r="E1413" s="5">
        <v>2.9380000000000002</v>
      </c>
      <c r="F1413" s="5">
        <v>0.51500000000000001</v>
      </c>
    </row>
    <row r="1414" spans="2:6" x14ac:dyDescent="0.2">
      <c r="B1414" s="9" t="s">
        <v>2123</v>
      </c>
      <c r="C1414" s="15" t="s">
        <v>2124</v>
      </c>
      <c r="D1414" s="12" t="str">
        <f>"0272-7358"</f>
        <v>0272-7358</v>
      </c>
      <c r="E1414" s="5">
        <v>12.792</v>
      </c>
      <c r="F1414" s="5">
        <v>0.99199999999999999</v>
      </c>
    </row>
    <row r="1415" spans="2:6" x14ac:dyDescent="0.2">
      <c r="B1415" s="9" t="s">
        <v>8860</v>
      </c>
      <c r="C1415" s="15" t="s">
        <v>8861</v>
      </c>
      <c r="D1415" s="12" t="str">
        <f>"2167-7026"</f>
        <v>2167-7026</v>
      </c>
      <c r="E1415" s="5">
        <v>7.1689999999999996</v>
      </c>
      <c r="F1415" s="5">
        <v>0.96199999999999997</v>
      </c>
    </row>
    <row r="1416" spans="2:6" x14ac:dyDescent="0.2">
      <c r="B1416" s="9" t="s">
        <v>2125</v>
      </c>
      <c r="C1416" s="15" t="s">
        <v>2126</v>
      </c>
      <c r="D1416" s="12" t="str">
        <f>"0969-5893"</f>
        <v>0969-5893</v>
      </c>
      <c r="E1416" s="5">
        <v>6.7240000000000002</v>
      </c>
      <c r="F1416" s="5">
        <v>0.95399999999999996</v>
      </c>
    </row>
    <row r="1417" spans="2:6" x14ac:dyDescent="0.2">
      <c r="B1417" s="9" t="s">
        <v>8862</v>
      </c>
      <c r="C1417" s="15" t="s">
        <v>8863</v>
      </c>
      <c r="D1417" s="12" t="str">
        <f>"1328-4207"</f>
        <v>1328-4207</v>
      </c>
      <c r="E1417" s="5">
        <v>1.508</v>
      </c>
      <c r="F1417" s="5">
        <v>0.23799999999999999</v>
      </c>
    </row>
    <row r="1418" spans="2:6" x14ac:dyDescent="0.2">
      <c r="B1418" s="9" t="s">
        <v>8864</v>
      </c>
      <c r="C1418" s="15" t="s">
        <v>8865</v>
      </c>
      <c r="D1418" s="12" t="str">
        <f>"1738-1088"</f>
        <v>1738-1088</v>
      </c>
      <c r="E1418" s="5">
        <v>2.5819999999999999</v>
      </c>
      <c r="F1418" s="5">
        <v>0.316</v>
      </c>
    </row>
    <row r="1419" spans="2:6" x14ac:dyDescent="0.2">
      <c r="B1419" s="9" t="s">
        <v>5564</v>
      </c>
      <c r="C1419" s="15" t="s">
        <v>3886</v>
      </c>
      <c r="D1419" s="12" t="str">
        <f>"0009-9260"</f>
        <v>0009-9260</v>
      </c>
      <c r="E1419" s="5">
        <v>2.35</v>
      </c>
      <c r="F1419" s="5">
        <v>0.34599999999999997</v>
      </c>
    </row>
    <row r="1420" spans="2:6" x14ac:dyDescent="0.2">
      <c r="B1420" s="9" t="s">
        <v>5565</v>
      </c>
      <c r="C1420" s="15" t="s">
        <v>3887</v>
      </c>
      <c r="D1420" s="12" t="str">
        <f>"0269-2155"</f>
        <v>0269-2155</v>
      </c>
      <c r="E1420" s="5">
        <v>3.4769999999999999</v>
      </c>
      <c r="F1420" s="5">
        <v>0.90800000000000003</v>
      </c>
    </row>
    <row r="1421" spans="2:6" x14ac:dyDescent="0.2">
      <c r="B1421" s="9" t="s">
        <v>5566</v>
      </c>
      <c r="C1421" s="15" t="s">
        <v>3888</v>
      </c>
      <c r="D1421" s="12" t="str">
        <f>"1861-0684"</f>
        <v>1861-0684</v>
      </c>
      <c r="E1421" s="5">
        <v>5.46</v>
      </c>
      <c r="F1421" s="5">
        <v>0.752</v>
      </c>
    </row>
    <row r="1422" spans="2:6" x14ac:dyDescent="0.2">
      <c r="B1422" s="9" t="s">
        <v>8866</v>
      </c>
      <c r="C1422" s="15" t="s">
        <v>8867</v>
      </c>
      <c r="D1422" s="12" t="str">
        <f>"2210-7401"</f>
        <v>2210-7401</v>
      </c>
      <c r="E1422" s="5">
        <v>2.9470000000000001</v>
      </c>
      <c r="F1422" s="5">
        <v>0.26100000000000001</v>
      </c>
    </row>
    <row r="1423" spans="2:6" x14ac:dyDescent="0.2">
      <c r="B1423" s="9" t="s">
        <v>2127</v>
      </c>
      <c r="C1423" s="15" t="s">
        <v>2128</v>
      </c>
      <c r="D1423" s="12" t="str">
        <f>"1752-6981"</f>
        <v>1752-6981</v>
      </c>
      <c r="E1423" s="5">
        <v>2.57</v>
      </c>
      <c r="F1423" s="5">
        <v>0.28100000000000003</v>
      </c>
    </row>
    <row r="1424" spans="2:6" x14ac:dyDescent="0.2">
      <c r="B1424" s="9" t="s">
        <v>5567</v>
      </c>
      <c r="C1424" s="15" t="s">
        <v>3889</v>
      </c>
      <c r="D1424" s="12" t="str">
        <f>"1080-0549"</f>
        <v>1080-0549</v>
      </c>
      <c r="E1424" s="5">
        <v>8.6669999999999998</v>
      </c>
      <c r="F1424" s="5">
        <v>0.89300000000000002</v>
      </c>
    </row>
    <row r="1425" spans="2:6" x14ac:dyDescent="0.2">
      <c r="B1425" s="9" t="s">
        <v>5568</v>
      </c>
      <c r="C1425" s="15" t="s">
        <v>3890</v>
      </c>
      <c r="D1425" s="12" t="str">
        <f>"1434-9949"</f>
        <v>1434-9949</v>
      </c>
      <c r="E1425" s="5">
        <v>2.98</v>
      </c>
      <c r="F1425" s="5">
        <v>0.32400000000000001</v>
      </c>
    </row>
    <row r="1426" spans="2:6" x14ac:dyDescent="0.2">
      <c r="B1426" s="9" t="s">
        <v>8868</v>
      </c>
      <c r="C1426" s="15" t="s">
        <v>8869</v>
      </c>
      <c r="D1426" s="12" t="str">
        <f>"1130-5274"</f>
        <v>1130-5274</v>
      </c>
      <c r="E1426" s="5">
        <v>0.7</v>
      </c>
      <c r="F1426" s="5">
        <v>6.2E-2</v>
      </c>
    </row>
    <row r="1427" spans="2:6" x14ac:dyDescent="0.2">
      <c r="B1427" s="9" t="s">
        <v>5569</v>
      </c>
      <c r="C1427" s="15" t="s">
        <v>3891</v>
      </c>
      <c r="D1427" s="12" t="str">
        <f>"0143-5221"</f>
        <v>0143-5221</v>
      </c>
      <c r="E1427" s="5">
        <v>6.1239999999999997</v>
      </c>
      <c r="F1427" s="5">
        <v>0.78600000000000003</v>
      </c>
    </row>
    <row r="1428" spans="2:6" x14ac:dyDescent="0.2">
      <c r="B1428" s="9" t="s">
        <v>8870</v>
      </c>
      <c r="C1428" s="15" t="s">
        <v>8871</v>
      </c>
      <c r="D1428" s="12" t="str">
        <f>"1876-1399"</f>
        <v>1876-1399</v>
      </c>
      <c r="E1428" s="5">
        <v>2.391</v>
      </c>
      <c r="F1428" s="5">
        <v>0.78600000000000003</v>
      </c>
    </row>
    <row r="1429" spans="2:6" x14ac:dyDescent="0.2">
      <c r="B1429" s="9" t="s">
        <v>8872</v>
      </c>
      <c r="C1429" s="15" t="s">
        <v>8873</v>
      </c>
      <c r="D1429" s="12" t="str">
        <f>"2380-0186"</f>
        <v>2380-0186</v>
      </c>
      <c r="E1429" s="5">
        <v>1.8759999999999999</v>
      </c>
      <c r="F1429" s="5">
        <v>0.32100000000000001</v>
      </c>
    </row>
    <row r="1430" spans="2:6" x14ac:dyDescent="0.2">
      <c r="B1430" s="9" t="s">
        <v>5570</v>
      </c>
      <c r="C1430" s="15" t="s">
        <v>3892</v>
      </c>
      <c r="D1430" s="12" t="str">
        <f>"0278-5919"</f>
        <v>0278-5919</v>
      </c>
      <c r="E1430" s="5">
        <v>2.1819999999999999</v>
      </c>
      <c r="F1430" s="5">
        <v>0.36399999999999999</v>
      </c>
    </row>
    <row r="1431" spans="2:6" x14ac:dyDescent="0.2">
      <c r="B1431" s="9" t="s">
        <v>5571</v>
      </c>
      <c r="C1431" s="15" t="s">
        <v>3893</v>
      </c>
      <c r="D1431" s="12" t="str">
        <f>"0149-2918"</f>
        <v>0149-2918</v>
      </c>
      <c r="E1431" s="5">
        <v>3.3929999999999998</v>
      </c>
      <c r="F1431" s="5">
        <v>0.49099999999999999</v>
      </c>
    </row>
    <row r="1432" spans="2:6" x14ac:dyDescent="0.2">
      <c r="B1432" s="9" t="s">
        <v>2129</v>
      </c>
      <c r="C1432" s="15" t="s">
        <v>2130</v>
      </c>
      <c r="D1432" s="12" t="str">
        <f>"1556-9519"</f>
        <v>1556-9519</v>
      </c>
      <c r="E1432" s="5">
        <v>4.4669999999999996</v>
      </c>
      <c r="F1432" s="5">
        <v>0.753</v>
      </c>
    </row>
    <row r="1433" spans="2:6" x14ac:dyDescent="0.2">
      <c r="B1433" s="9" t="s">
        <v>8874</v>
      </c>
      <c r="C1433" s="15" t="s">
        <v>8875</v>
      </c>
      <c r="D1433" s="12" t="str">
        <f>"2045-7022"</f>
        <v>2045-7022</v>
      </c>
      <c r="E1433" s="5">
        <v>5.8710000000000004</v>
      </c>
      <c r="F1433" s="5">
        <v>0.75</v>
      </c>
    </row>
    <row r="1434" spans="2:6" x14ac:dyDescent="0.2">
      <c r="B1434" s="9" t="s">
        <v>8876</v>
      </c>
      <c r="C1434" s="15" t="s">
        <v>8877</v>
      </c>
      <c r="D1434" s="12" t="str">
        <f>"2155-384X"</f>
        <v>2155-384X</v>
      </c>
      <c r="E1434" s="5">
        <v>4.4880000000000004</v>
      </c>
      <c r="F1434" s="5">
        <v>0.60899999999999999</v>
      </c>
    </row>
    <row r="1435" spans="2:6" x14ac:dyDescent="0.2">
      <c r="B1435" s="9" t="s">
        <v>8878</v>
      </c>
      <c r="C1435" s="15" t="s">
        <v>8879</v>
      </c>
      <c r="D1435" s="12" t="str">
        <f>"2281-5872"</f>
        <v>2281-5872</v>
      </c>
      <c r="E1435" s="5">
        <v>2.75</v>
      </c>
      <c r="F1435" s="5">
        <v>0.48099999999999998</v>
      </c>
    </row>
    <row r="1436" spans="2:6" x14ac:dyDescent="0.2">
      <c r="B1436" s="9" t="s">
        <v>8880</v>
      </c>
      <c r="C1436" s="15" t="s">
        <v>8881</v>
      </c>
      <c r="D1436" s="12" t="str">
        <f>"2050-0068"</f>
        <v>2050-0068</v>
      </c>
      <c r="E1436" s="5">
        <v>6.1609999999999996</v>
      </c>
      <c r="F1436" s="5">
        <v>0.747</v>
      </c>
    </row>
    <row r="1437" spans="2:6" x14ac:dyDescent="0.2">
      <c r="B1437" s="9" t="s">
        <v>8882</v>
      </c>
      <c r="C1437" s="15" t="s">
        <v>8883</v>
      </c>
      <c r="D1437" s="12" t="str">
        <f>"2001-1326"</f>
        <v>2001-1326</v>
      </c>
      <c r="E1437" s="5">
        <v>11.492000000000001</v>
      </c>
      <c r="F1437" s="5">
        <v>0.93600000000000005</v>
      </c>
    </row>
    <row r="1438" spans="2:6" x14ac:dyDescent="0.2">
      <c r="B1438" s="9" t="s">
        <v>2131</v>
      </c>
      <c r="C1438" s="15" t="s">
        <v>2132</v>
      </c>
      <c r="D1438" s="12" t="str">
        <f>"1699-048X"</f>
        <v>1699-048X</v>
      </c>
      <c r="E1438" s="5">
        <v>3.4049999999999998</v>
      </c>
      <c r="F1438" s="5">
        <v>0.34399999999999997</v>
      </c>
    </row>
    <row r="1439" spans="2:6" x14ac:dyDescent="0.2">
      <c r="B1439" s="9" t="s">
        <v>5572</v>
      </c>
      <c r="C1439" s="15" t="s">
        <v>3894</v>
      </c>
      <c r="D1439" s="12" t="str">
        <f>"0902-0063"</f>
        <v>0902-0063</v>
      </c>
      <c r="E1439" s="5">
        <v>2.863</v>
      </c>
      <c r="F1439" s="5">
        <v>0.624</v>
      </c>
    </row>
    <row r="1440" spans="2:6" x14ac:dyDescent="0.2">
      <c r="B1440" s="9" t="s">
        <v>2133</v>
      </c>
      <c r="C1440" s="15" t="s">
        <v>2134</v>
      </c>
      <c r="D1440" s="12" t="str">
        <f>"1740-7753"</f>
        <v>1740-7753</v>
      </c>
      <c r="E1440" s="5">
        <v>2.4860000000000002</v>
      </c>
      <c r="F1440" s="5">
        <v>0.27100000000000002</v>
      </c>
    </row>
    <row r="1441" spans="2:6" x14ac:dyDescent="0.2">
      <c r="B1441" s="9" t="s">
        <v>8884</v>
      </c>
      <c r="C1441" s="15" t="s">
        <v>8885</v>
      </c>
      <c r="D1441" s="12" t="str">
        <f>"2152-2650"</f>
        <v>2152-2650</v>
      </c>
      <c r="E1441" s="5">
        <v>3.2309999999999999</v>
      </c>
      <c r="F1441" s="5">
        <v>0.47399999999999998</v>
      </c>
    </row>
    <row r="1442" spans="2:6" x14ac:dyDescent="0.2">
      <c r="B1442" s="9" t="s">
        <v>8886</v>
      </c>
      <c r="C1442" s="15" t="s">
        <v>8887</v>
      </c>
      <c r="D1442" s="12" t="str">
        <f>"0887-302X"</f>
        <v>0887-302X</v>
      </c>
      <c r="E1442" s="5">
        <v>1.9</v>
      </c>
      <c r="F1442" s="5">
        <v>0.46800000000000003</v>
      </c>
    </row>
    <row r="1443" spans="2:6" x14ac:dyDescent="0.2">
      <c r="B1443" s="9" t="s">
        <v>5573</v>
      </c>
      <c r="C1443" s="15" t="s">
        <v>5573</v>
      </c>
      <c r="D1443" s="12" t="str">
        <f>"1172-7047"</f>
        <v>1172-7047</v>
      </c>
      <c r="E1443" s="5">
        <v>5.7489999999999997</v>
      </c>
      <c r="F1443" s="5">
        <v>0.87</v>
      </c>
    </row>
    <row r="1444" spans="2:6" x14ac:dyDescent="0.2">
      <c r="B1444" s="9" t="s">
        <v>2136</v>
      </c>
      <c r="C1444" s="15" t="s">
        <v>2137</v>
      </c>
      <c r="D1444" s="12" t="str">
        <f>"1871-5273"</f>
        <v>1871-5273</v>
      </c>
      <c r="E1444" s="5">
        <v>4.3879999999999999</v>
      </c>
      <c r="F1444" s="5">
        <v>0.68700000000000006</v>
      </c>
    </row>
    <row r="1445" spans="2:6" x14ac:dyDescent="0.2">
      <c r="B1445" s="9" t="s">
        <v>8888</v>
      </c>
      <c r="C1445" s="15" t="s">
        <v>8889</v>
      </c>
      <c r="D1445" s="12" t="str">
        <f>"1755-5930"</f>
        <v>1755-5930</v>
      </c>
      <c r="E1445" s="5">
        <v>5.2430000000000003</v>
      </c>
      <c r="F1445" s="5">
        <v>0.80400000000000005</v>
      </c>
    </row>
    <row r="1446" spans="2:6" x14ac:dyDescent="0.2">
      <c r="B1446" s="9" t="s">
        <v>5574</v>
      </c>
      <c r="C1446" s="15" t="s">
        <v>5574</v>
      </c>
      <c r="D1446" s="12" t="str">
        <f>"1092-8529"</f>
        <v>1092-8529</v>
      </c>
      <c r="E1446" s="5">
        <v>3.79</v>
      </c>
      <c r="F1446" s="5">
        <v>0.66700000000000004</v>
      </c>
    </row>
    <row r="1447" spans="2:6" x14ac:dyDescent="0.2">
      <c r="B1447" s="9" t="s">
        <v>2138</v>
      </c>
      <c r="C1447" s="15" t="s">
        <v>2139</v>
      </c>
      <c r="D1447" s="12" t="str">
        <f>"1469-493X"</f>
        <v>1469-493X</v>
      </c>
      <c r="E1447" s="5">
        <v>9.266</v>
      </c>
      <c r="F1447" s="5">
        <v>0.94</v>
      </c>
    </row>
    <row r="1448" spans="2:6" x14ac:dyDescent="0.2">
      <c r="B1448" s="9" t="s">
        <v>2140</v>
      </c>
      <c r="C1448" s="15" t="s">
        <v>2141</v>
      </c>
      <c r="D1448" s="12" t="str">
        <f>"1530-7026"</f>
        <v>1530-7026</v>
      </c>
      <c r="E1448" s="5">
        <v>3.282</v>
      </c>
      <c r="F1448" s="5">
        <v>0.67900000000000005</v>
      </c>
    </row>
    <row r="1449" spans="2:6" x14ac:dyDescent="0.2">
      <c r="B1449" s="9" t="s">
        <v>5575</v>
      </c>
      <c r="C1449" s="15" t="s">
        <v>3895</v>
      </c>
      <c r="D1449" s="12" t="str">
        <f>"1543-3633"</f>
        <v>1543-3633</v>
      </c>
      <c r="E1449" s="5">
        <v>1.6</v>
      </c>
      <c r="F1449" s="5">
        <v>0.12</v>
      </c>
    </row>
    <row r="1450" spans="2:6" x14ac:dyDescent="0.2">
      <c r="B1450" s="9" t="s">
        <v>2142</v>
      </c>
      <c r="C1450" s="15" t="s">
        <v>2143</v>
      </c>
      <c r="D1450" s="12" t="str">
        <f>"1077-7229"</f>
        <v>1077-7229</v>
      </c>
      <c r="E1450" s="5">
        <v>2.9460000000000002</v>
      </c>
      <c r="F1450" s="5">
        <v>0.53100000000000003</v>
      </c>
    </row>
    <row r="1451" spans="2:6" x14ac:dyDescent="0.2">
      <c r="B1451" s="9" t="s">
        <v>8890</v>
      </c>
      <c r="C1451" s="15" t="s">
        <v>8891</v>
      </c>
      <c r="D1451" s="12" t="str">
        <f>"1650-6073"</f>
        <v>1650-6073</v>
      </c>
      <c r="E1451" s="5">
        <v>5.7610000000000001</v>
      </c>
      <c r="F1451" s="5">
        <v>0.91500000000000004</v>
      </c>
    </row>
    <row r="1452" spans="2:6" x14ac:dyDescent="0.2">
      <c r="B1452" s="9" t="s">
        <v>8892</v>
      </c>
      <c r="C1452" s="15" t="s">
        <v>8893</v>
      </c>
      <c r="D1452" s="12" t="str">
        <f>"1866-9956"</f>
        <v>1866-9956</v>
      </c>
      <c r="E1452" s="5">
        <v>5.4180000000000001</v>
      </c>
      <c r="F1452" s="5">
        <v>0.77</v>
      </c>
    </row>
    <row r="1453" spans="2:6" x14ac:dyDescent="0.2">
      <c r="B1453" s="9" t="s">
        <v>2148</v>
      </c>
      <c r="C1453" s="15" t="s">
        <v>2148</v>
      </c>
      <c r="D1453" s="12" t="str">
        <f>"0010-0277"</f>
        <v>0010-0277</v>
      </c>
      <c r="E1453" s="5">
        <v>3.65</v>
      </c>
      <c r="F1453" s="5">
        <v>0.82199999999999995</v>
      </c>
    </row>
    <row r="1454" spans="2:6" x14ac:dyDescent="0.2">
      <c r="B1454" s="9" t="s">
        <v>2149</v>
      </c>
      <c r="C1454" s="15" t="s">
        <v>2150</v>
      </c>
      <c r="D1454" s="12" t="str">
        <f>"0269-9931"</f>
        <v>0269-9931</v>
      </c>
      <c r="E1454" s="5">
        <v>2.6779999999999999</v>
      </c>
      <c r="F1454" s="5">
        <v>0.57799999999999996</v>
      </c>
    </row>
    <row r="1455" spans="2:6" x14ac:dyDescent="0.2">
      <c r="B1455" s="9" t="s">
        <v>2151</v>
      </c>
      <c r="C1455" s="15" t="s">
        <v>2152</v>
      </c>
      <c r="D1455" s="12" t="str">
        <f>"0737-0008"</f>
        <v>0737-0008</v>
      </c>
      <c r="E1455" s="5">
        <v>3.2160000000000002</v>
      </c>
      <c r="F1455" s="5">
        <v>0.73299999999999998</v>
      </c>
    </row>
    <row r="1456" spans="2:6" x14ac:dyDescent="0.2">
      <c r="B1456" s="9" t="s">
        <v>2153</v>
      </c>
      <c r="C1456" s="15" t="s">
        <v>2154</v>
      </c>
      <c r="D1456" s="12" t="str">
        <f>"0885-2014"</f>
        <v>0885-2014</v>
      </c>
      <c r="E1456" s="5">
        <v>2.9780000000000002</v>
      </c>
      <c r="F1456" s="5">
        <v>0.63600000000000001</v>
      </c>
    </row>
    <row r="1457" spans="2:6" x14ac:dyDescent="0.2">
      <c r="B1457" s="9" t="s">
        <v>5577</v>
      </c>
      <c r="C1457" s="15" t="s">
        <v>3897</v>
      </c>
      <c r="D1457" s="12" t="str">
        <f>"0010-0285"</f>
        <v>0010-0285</v>
      </c>
      <c r="E1457" s="5">
        <v>3.468</v>
      </c>
      <c r="F1457" s="5">
        <v>0.76700000000000002</v>
      </c>
    </row>
    <row r="1458" spans="2:6" x14ac:dyDescent="0.2">
      <c r="B1458" s="9" t="s">
        <v>8894</v>
      </c>
      <c r="C1458" s="15" t="s">
        <v>8894</v>
      </c>
      <c r="D1458" s="12" t="str">
        <f>"2365-7464"</f>
        <v>2365-7464</v>
      </c>
      <c r="E1458" s="5">
        <v>3.7010000000000001</v>
      </c>
      <c r="F1458" s="5">
        <v>0.83299999999999996</v>
      </c>
    </row>
    <row r="1459" spans="2:6" x14ac:dyDescent="0.2">
      <c r="B1459" s="9" t="s">
        <v>2155</v>
      </c>
      <c r="C1459" s="15" t="s">
        <v>2156</v>
      </c>
      <c r="D1459" s="12" t="str">
        <f>"0364-0213"</f>
        <v>0364-0213</v>
      </c>
      <c r="E1459" s="5">
        <v>2.5609999999999999</v>
      </c>
      <c r="F1459" s="5">
        <v>0.54400000000000004</v>
      </c>
    </row>
    <row r="1460" spans="2:6" x14ac:dyDescent="0.2">
      <c r="B1460" s="9" t="s">
        <v>2157</v>
      </c>
      <c r="C1460" s="15" t="s">
        <v>2158</v>
      </c>
      <c r="D1460" s="12" t="str">
        <f>"0147-5916"</f>
        <v>0147-5916</v>
      </c>
      <c r="E1460" s="5">
        <v>2.5030000000000001</v>
      </c>
      <c r="F1460" s="5">
        <v>0.38500000000000001</v>
      </c>
    </row>
    <row r="1461" spans="2:6" x14ac:dyDescent="0.2">
      <c r="B1461" s="9" t="s">
        <v>2144</v>
      </c>
      <c r="C1461" s="15" t="s">
        <v>2145</v>
      </c>
      <c r="D1461" s="12" t="str">
        <f>"1871-4080"</f>
        <v>1871-4080</v>
      </c>
      <c r="E1461" s="5">
        <v>5.0819999999999999</v>
      </c>
      <c r="F1461" s="5">
        <v>0.71799999999999997</v>
      </c>
    </row>
    <row r="1462" spans="2:6" x14ac:dyDescent="0.2">
      <c r="B1462" s="9" t="s">
        <v>8895</v>
      </c>
      <c r="C1462" s="15" t="s">
        <v>8896</v>
      </c>
      <c r="D1462" s="12" t="str">
        <f>"1354-6805"</f>
        <v>1354-6805</v>
      </c>
      <c r="E1462" s="5">
        <v>1.871</v>
      </c>
      <c r="F1462" s="5">
        <v>0.25900000000000001</v>
      </c>
    </row>
    <row r="1463" spans="2:6" x14ac:dyDescent="0.2">
      <c r="B1463" s="9" t="s">
        <v>5576</v>
      </c>
      <c r="C1463" s="15" t="s">
        <v>3896</v>
      </c>
      <c r="D1463" s="12" t="str">
        <f>"0264-3294"</f>
        <v>0264-3294</v>
      </c>
      <c r="E1463" s="5">
        <v>2.468</v>
      </c>
      <c r="F1463" s="5">
        <v>0.52200000000000002</v>
      </c>
    </row>
    <row r="1464" spans="2:6" x14ac:dyDescent="0.2">
      <c r="B1464" s="9" t="s">
        <v>8897</v>
      </c>
      <c r="C1464" s="15" t="s">
        <v>8898</v>
      </c>
      <c r="D1464" s="12" t="str">
        <f>"1758-8936"</f>
        <v>1758-8936</v>
      </c>
      <c r="E1464" s="5">
        <v>3.0649999999999999</v>
      </c>
      <c r="F1464" s="5">
        <v>0.33300000000000002</v>
      </c>
    </row>
    <row r="1465" spans="2:6" x14ac:dyDescent="0.2">
      <c r="B1465" s="9" t="s">
        <v>8899</v>
      </c>
      <c r="C1465" s="15" t="s">
        <v>8900</v>
      </c>
      <c r="D1465" s="12" t="str">
        <f>"1612-4790"</f>
        <v>1612-4790</v>
      </c>
      <c r="E1465" s="5">
        <v>1.903</v>
      </c>
      <c r="F1465" s="5">
        <v>0.311</v>
      </c>
    </row>
    <row r="1466" spans="2:6" x14ac:dyDescent="0.2">
      <c r="B1466" s="9" t="s">
        <v>2146</v>
      </c>
      <c r="C1466" s="15" t="s">
        <v>2147</v>
      </c>
      <c r="D1466" s="12" t="str">
        <f>"2214-4366"</f>
        <v>2214-4366</v>
      </c>
      <c r="E1466" s="5">
        <v>3.5230000000000001</v>
      </c>
      <c r="F1466" s="5">
        <v>0.78900000000000003</v>
      </c>
    </row>
    <row r="1467" spans="2:6" x14ac:dyDescent="0.2">
      <c r="B1467" s="9" t="s">
        <v>8901</v>
      </c>
      <c r="C1467" s="15" t="s">
        <v>8902</v>
      </c>
      <c r="D1467" s="12" t="str">
        <f>"2474-7394"</f>
        <v>2474-7394</v>
      </c>
      <c r="E1467" s="5">
        <v>3.02</v>
      </c>
      <c r="F1467" s="5">
        <v>0.71199999999999997</v>
      </c>
    </row>
    <row r="1468" spans="2:6" x14ac:dyDescent="0.2">
      <c r="B1468" s="9" t="s">
        <v>8903</v>
      </c>
      <c r="C1468" s="15" t="s">
        <v>8904</v>
      </c>
      <c r="D1468" s="12" t="str">
        <f>"1322-7696"</f>
        <v>1322-7696</v>
      </c>
      <c r="E1468" s="5">
        <v>2.573</v>
      </c>
      <c r="F1468" s="5">
        <v>0.83299999999999996</v>
      </c>
    </row>
    <row r="1469" spans="2:6" x14ac:dyDescent="0.2">
      <c r="B1469" s="9" t="s">
        <v>5578</v>
      </c>
      <c r="C1469" s="15" t="s">
        <v>3898</v>
      </c>
      <c r="D1469" s="12" t="str">
        <f>"0927-7765"</f>
        <v>0927-7765</v>
      </c>
      <c r="E1469" s="5">
        <v>5.2679999999999998</v>
      </c>
      <c r="F1469" s="5">
        <v>0.85899999999999999</v>
      </c>
    </row>
    <row r="1470" spans="2:6" x14ac:dyDescent="0.2">
      <c r="B1470" s="9" t="s">
        <v>2159</v>
      </c>
      <c r="C1470" s="15" t="s">
        <v>2160</v>
      </c>
      <c r="D1470" s="12" t="str">
        <f>"0010-0870"</f>
        <v>0010-0870</v>
      </c>
      <c r="E1470" s="5">
        <v>2.3809999999999998</v>
      </c>
      <c r="F1470" s="5">
        <v>0.52900000000000003</v>
      </c>
    </row>
    <row r="1471" spans="2:6" x14ac:dyDescent="0.2">
      <c r="B1471" s="9" t="s">
        <v>8905</v>
      </c>
      <c r="C1471" s="15" t="s">
        <v>8906</v>
      </c>
      <c r="D1471" s="12" t="str">
        <f>"1657-9534"</f>
        <v>1657-9534</v>
      </c>
      <c r="E1471" s="5">
        <v>1.2949999999999999</v>
      </c>
      <c r="F1471" s="5">
        <v>0.28699999999999998</v>
      </c>
    </row>
    <row r="1472" spans="2:6" x14ac:dyDescent="0.2">
      <c r="B1472" s="9" t="s">
        <v>2161</v>
      </c>
      <c r="C1472" s="15" t="s">
        <v>2162</v>
      </c>
      <c r="D1472" s="12" t="str">
        <f>"1463-1318"</f>
        <v>1463-1318</v>
      </c>
      <c r="E1472" s="5">
        <v>3.7879999999999998</v>
      </c>
      <c r="F1472" s="5">
        <v>0.78100000000000003</v>
      </c>
    </row>
    <row r="1473" spans="2:6" x14ac:dyDescent="0.2">
      <c r="B1473" s="9" t="s">
        <v>8907</v>
      </c>
      <c r="C1473" s="15" t="s">
        <v>8908</v>
      </c>
      <c r="D1473" s="12" t="str">
        <f>"0361-2317"</f>
        <v>0361-2317</v>
      </c>
      <c r="E1473" s="5">
        <v>1.3</v>
      </c>
      <c r="F1473" s="5">
        <v>0.27</v>
      </c>
    </row>
    <row r="1474" spans="2:6" x14ac:dyDescent="0.2">
      <c r="B1474" s="9" t="s">
        <v>5579</v>
      </c>
      <c r="C1474" s="15" t="s">
        <v>3899</v>
      </c>
      <c r="D1474" s="12" t="str">
        <f>"1386-2073"</f>
        <v>1386-2073</v>
      </c>
      <c r="E1474" s="5">
        <v>1.339</v>
      </c>
      <c r="F1474" s="5">
        <v>0.28399999999999997</v>
      </c>
    </row>
    <row r="1475" spans="2:6" x14ac:dyDescent="0.2">
      <c r="B1475" s="9" t="s">
        <v>5580</v>
      </c>
      <c r="C1475" s="15" t="s">
        <v>3900</v>
      </c>
      <c r="D1475" s="12" t="str">
        <f>"0963-5483"</f>
        <v>0963-5483</v>
      </c>
      <c r="E1475" s="5">
        <v>1.032</v>
      </c>
      <c r="F1475" s="5">
        <v>0.55500000000000005</v>
      </c>
    </row>
    <row r="1476" spans="2:6" x14ac:dyDescent="0.2">
      <c r="B1476" s="9" t="s">
        <v>8909</v>
      </c>
      <c r="C1476" s="15" t="s">
        <v>8910</v>
      </c>
      <c r="D1476" s="12" t="str">
        <f>"0010-2180"</f>
        <v>0010-2180</v>
      </c>
      <c r="E1476" s="5">
        <v>4.1849999999999996</v>
      </c>
      <c r="F1476" s="5">
        <v>0.86699999999999999</v>
      </c>
    </row>
    <row r="1477" spans="2:6" x14ac:dyDescent="0.2">
      <c r="B1477" s="9" t="s">
        <v>8911</v>
      </c>
      <c r="C1477" s="15" t="s">
        <v>8912</v>
      </c>
      <c r="D1477" s="12" t="str">
        <f>"2399-3642"</f>
        <v>2399-3642</v>
      </c>
      <c r="E1477" s="5">
        <v>6.2679999999999998</v>
      </c>
      <c r="F1477" s="5">
        <v>0.92500000000000004</v>
      </c>
    </row>
    <row r="1478" spans="2:6" x14ac:dyDescent="0.2">
      <c r="B1478" s="9" t="s">
        <v>8913</v>
      </c>
      <c r="C1478" s="15" t="s">
        <v>8914</v>
      </c>
      <c r="D1478" s="12" t="str">
        <f>"2399-3669"</f>
        <v>2399-3669</v>
      </c>
      <c r="E1478" s="5">
        <v>6.5810000000000004</v>
      </c>
      <c r="F1478" s="5">
        <v>0.78100000000000003</v>
      </c>
    </row>
    <row r="1479" spans="2:6" x14ac:dyDescent="0.2">
      <c r="B1479" s="9" t="s">
        <v>8915</v>
      </c>
      <c r="C1479" s="15" t="s">
        <v>8916</v>
      </c>
      <c r="D1479" s="12" t="str">
        <f>"1525-7401"</f>
        <v>1525-7401</v>
      </c>
      <c r="E1479" s="5">
        <v>0.98</v>
      </c>
      <c r="F1479" s="5">
        <v>7.5999999999999998E-2</v>
      </c>
    </row>
    <row r="1480" spans="2:6" x14ac:dyDescent="0.2">
      <c r="B1480" s="9" t="s">
        <v>2163</v>
      </c>
      <c r="C1480" s="15" t="s">
        <v>2164</v>
      </c>
      <c r="D1480" s="12" t="str">
        <f>"0265-539X"</f>
        <v>0265-539X</v>
      </c>
      <c r="E1480" s="5">
        <v>1.349</v>
      </c>
      <c r="F1480" s="5">
        <v>7.6999999999999999E-2</v>
      </c>
    </row>
    <row r="1481" spans="2:6" x14ac:dyDescent="0.2">
      <c r="B1481" s="9" t="s">
        <v>5584</v>
      </c>
      <c r="C1481" s="15" t="s">
        <v>3904</v>
      </c>
      <c r="D1481" s="12" t="str">
        <f>"0301-5661"</f>
        <v>0301-5661</v>
      </c>
      <c r="E1481" s="5">
        <v>3.383</v>
      </c>
      <c r="F1481" s="5">
        <v>0.72699999999999998</v>
      </c>
    </row>
    <row r="1482" spans="2:6" x14ac:dyDescent="0.2">
      <c r="B1482" s="9" t="s">
        <v>2165</v>
      </c>
      <c r="C1482" s="15" t="s">
        <v>2166</v>
      </c>
      <c r="D1482" s="12" t="str">
        <f>"0010-3853"</f>
        <v>0010-3853</v>
      </c>
      <c r="E1482" s="5">
        <v>1.7609999999999999</v>
      </c>
      <c r="F1482" s="5">
        <v>0.27300000000000002</v>
      </c>
    </row>
    <row r="1483" spans="2:6" x14ac:dyDescent="0.2">
      <c r="B1483" s="9" t="s">
        <v>5581</v>
      </c>
      <c r="C1483" s="15" t="s">
        <v>3901</v>
      </c>
      <c r="D1483" s="12" t="str">
        <f>"0010-3624"</f>
        <v>0010-3624</v>
      </c>
      <c r="E1483" s="5">
        <v>1.327</v>
      </c>
      <c r="F1483" s="5">
        <v>0.374</v>
      </c>
    </row>
    <row r="1484" spans="2:6" x14ac:dyDescent="0.2">
      <c r="B1484" s="9" t="s">
        <v>5582</v>
      </c>
      <c r="C1484" s="15" t="s">
        <v>3902</v>
      </c>
      <c r="D1484" s="12" t="str">
        <f>"0361-0918"</f>
        <v>0361-0918</v>
      </c>
      <c r="E1484" s="5">
        <v>1.1180000000000001</v>
      </c>
      <c r="F1484" s="5">
        <v>0.312</v>
      </c>
    </row>
    <row r="1485" spans="2:6" x14ac:dyDescent="0.2">
      <c r="B1485" s="9" t="s">
        <v>5583</v>
      </c>
      <c r="C1485" s="15" t="s">
        <v>3903</v>
      </c>
      <c r="D1485" s="12" t="str">
        <f>"0361-0926"</f>
        <v>0361-0926</v>
      </c>
      <c r="E1485" s="5">
        <v>0.89300000000000002</v>
      </c>
      <c r="F1485" s="5">
        <v>0.16</v>
      </c>
    </row>
    <row r="1486" spans="2:6" x14ac:dyDescent="0.2">
      <c r="B1486" s="9" t="s">
        <v>6351</v>
      </c>
      <c r="C1486" s="15" t="s">
        <v>3910</v>
      </c>
      <c r="D1486" s="12" t="str">
        <f>"1532-0820"</f>
        <v>1532-0820</v>
      </c>
      <c r="E1486" s="5">
        <v>0.98199999999999998</v>
      </c>
      <c r="F1486" s="5">
        <v>0.32900000000000001</v>
      </c>
    </row>
    <row r="1487" spans="2:6" ht="25.5" x14ac:dyDescent="0.2">
      <c r="B1487" s="9" t="s">
        <v>5585</v>
      </c>
      <c r="C1487" s="15" t="s">
        <v>8917</v>
      </c>
      <c r="D1487" s="12" t="str">
        <f>"1095-6433"</f>
        <v>1095-6433</v>
      </c>
      <c r="E1487" s="5">
        <v>2.3199999999999998</v>
      </c>
      <c r="F1487" s="5">
        <v>0.79300000000000004</v>
      </c>
    </row>
    <row r="1488" spans="2:6" ht="25.5" x14ac:dyDescent="0.2">
      <c r="B1488" s="9" t="s">
        <v>5586</v>
      </c>
      <c r="C1488" s="15" t="s">
        <v>3905</v>
      </c>
      <c r="D1488" s="12" t="str">
        <f>"1096-4959"</f>
        <v>1096-4959</v>
      </c>
      <c r="E1488" s="5">
        <v>2.2309999999999999</v>
      </c>
      <c r="F1488" s="5">
        <v>0.747</v>
      </c>
    </row>
    <row r="1489" spans="2:6" ht="25.5" x14ac:dyDescent="0.2">
      <c r="B1489" s="9" t="s">
        <v>5587</v>
      </c>
      <c r="C1489" s="15" t="s">
        <v>3906</v>
      </c>
      <c r="D1489" s="12" t="str">
        <f>"1532-0456"</f>
        <v>1532-0456</v>
      </c>
      <c r="E1489" s="5">
        <v>3.2280000000000002</v>
      </c>
      <c r="F1489" s="5">
        <v>0.95399999999999996</v>
      </c>
    </row>
    <row r="1490" spans="2:6" x14ac:dyDescent="0.2">
      <c r="B1490" s="9" t="s">
        <v>5588</v>
      </c>
      <c r="C1490" s="15" t="s">
        <v>3907</v>
      </c>
      <c r="D1490" s="12" t="str">
        <f>"1744-117X"</f>
        <v>1744-117X</v>
      </c>
      <c r="E1490" s="5">
        <v>2.6739999999999999</v>
      </c>
      <c r="F1490" s="5">
        <v>0.38300000000000001</v>
      </c>
    </row>
    <row r="1491" spans="2:6" x14ac:dyDescent="0.2">
      <c r="B1491" s="9" t="s">
        <v>2167</v>
      </c>
      <c r="C1491" s="15" t="s">
        <v>2168</v>
      </c>
      <c r="D1491" s="12" t="str">
        <f>"1993-0771"</f>
        <v>1993-0771</v>
      </c>
      <c r="E1491" s="5">
        <v>1.8</v>
      </c>
      <c r="F1491" s="5">
        <v>0.60299999999999998</v>
      </c>
    </row>
    <row r="1492" spans="2:6" ht="25.5" x14ac:dyDescent="0.2">
      <c r="B1492" s="9" t="s">
        <v>8918</v>
      </c>
      <c r="C1492" s="15" t="s">
        <v>8919</v>
      </c>
      <c r="D1492" s="12" t="str">
        <f>"0332-1649"</f>
        <v>0332-1649</v>
      </c>
      <c r="E1492" s="5">
        <v>0.755</v>
      </c>
      <c r="F1492" s="5">
        <v>0.128</v>
      </c>
    </row>
    <row r="1493" spans="2:6" x14ac:dyDescent="0.2">
      <c r="B1493" s="9" t="s">
        <v>6349</v>
      </c>
      <c r="C1493" s="15" t="s">
        <v>3908</v>
      </c>
      <c r="D1493" s="12" t="str">
        <f>"0147-9571"</f>
        <v>0147-9571</v>
      </c>
      <c r="E1493" s="5">
        <v>2.2679999999999998</v>
      </c>
      <c r="F1493" s="5">
        <v>0.753</v>
      </c>
    </row>
    <row r="1494" spans="2:6" x14ac:dyDescent="0.2">
      <c r="B1494" s="9" t="s">
        <v>8920</v>
      </c>
      <c r="C1494" s="15" t="s">
        <v>8921</v>
      </c>
      <c r="D1494" s="12" t="str">
        <f>"2504-2092"</f>
        <v>2504-2092</v>
      </c>
      <c r="E1494" s="5">
        <v>1.2110000000000001</v>
      </c>
      <c r="F1494" s="5">
        <v>0.17899999999999999</v>
      </c>
    </row>
    <row r="1495" spans="2:6" x14ac:dyDescent="0.2">
      <c r="B1495" s="9" t="s">
        <v>8922</v>
      </c>
      <c r="C1495" s="15" t="s">
        <v>8923</v>
      </c>
      <c r="D1495" s="12" t="str">
        <f>"1744-3881"</f>
        <v>1744-3881</v>
      </c>
      <c r="E1495" s="5">
        <v>2.4460000000000002</v>
      </c>
      <c r="F1495" s="5">
        <v>0.53600000000000003</v>
      </c>
    </row>
    <row r="1496" spans="2:6" x14ac:dyDescent="0.2">
      <c r="B1496" s="9" t="s">
        <v>6352</v>
      </c>
      <c r="C1496" s="15" t="s">
        <v>3911</v>
      </c>
      <c r="D1496" s="12" t="str">
        <f>"0965-2299"</f>
        <v>0965-2299</v>
      </c>
      <c r="E1496" s="5">
        <v>2.4460000000000002</v>
      </c>
      <c r="F1496" s="5">
        <v>0.53600000000000003</v>
      </c>
    </row>
    <row r="1497" spans="2:6" x14ac:dyDescent="0.2">
      <c r="B1497" s="9" t="s">
        <v>6353</v>
      </c>
      <c r="C1497" s="15" t="s">
        <v>6353</v>
      </c>
      <c r="D1497" s="12" t="str">
        <f>"1076-2787"</f>
        <v>1076-2787</v>
      </c>
      <c r="E1497" s="5">
        <v>2.8330000000000002</v>
      </c>
      <c r="F1497" s="5">
        <v>0.72199999999999998</v>
      </c>
    </row>
    <row r="1498" spans="2:6" x14ac:dyDescent="0.2">
      <c r="B1498" s="9" t="s">
        <v>6350</v>
      </c>
      <c r="C1498" s="15" t="s">
        <v>3909</v>
      </c>
      <c r="D1498" s="12" t="str">
        <f>"1525-2647"</f>
        <v>1525-2647</v>
      </c>
      <c r="E1498" s="5">
        <v>0.42899999999999999</v>
      </c>
      <c r="F1498" s="5">
        <v>0.04</v>
      </c>
    </row>
    <row r="1499" spans="2:6" x14ac:dyDescent="0.2">
      <c r="B1499" s="9" t="s">
        <v>8924</v>
      </c>
      <c r="C1499" s="15" t="s">
        <v>8925</v>
      </c>
      <c r="D1499" s="12" t="str">
        <f>"2040-4603"</f>
        <v>2040-4603</v>
      </c>
      <c r="E1499" s="5">
        <v>9.09</v>
      </c>
      <c r="F1499" s="5">
        <v>0.96299999999999997</v>
      </c>
    </row>
    <row r="1500" spans="2:6" x14ac:dyDescent="0.2">
      <c r="B1500" s="9" t="s">
        <v>6354</v>
      </c>
      <c r="C1500" s="15" t="s">
        <v>3912</v>
      </c>
      <c r="D1500" s="12" t="str">
        <f>"0010-440X"</f>
        <v>0010-440X</v>
      </c>
      <c r="E1500" s="5">
        <v>3.7349999999999999</v>
      </c>
      <c r="F1500" s="5">
        <v>0.66200000000000003</v>
      </c>
    </row>
    <row r="1501" spans="2:6" x14ac:dyDescent="0.2">
      <c r="B1501" s="9" t="s">
        <v>2207</v>
      </c>
      <c r="C1501" s="15" t="s">
        <v>2208</v>
      </c>
      <c r="D1501" s="12" t="str">
        <f>"1093-9687"</f>
        <v>1093-9687</v>
      </c>
      <c r="E1501" s="5">
        <v>11.775</v>
      </c>
      <c r="F1501" s="5">
        <v>1</v>
      </c>
    </row>
    <row r="1502" spans="2:6" x14ac:dyDescent="0.2">
      <c r="B1502" s="9" t="s">
        <v>6355</v>
      </c>
      <c r="C1502" s="15" t="s">
        <v>3913</v>
      </c>
      <c r="D1502" s="12" t="str">
        <f>"1061-3773"</f>
        <v>1061-3773</v>
      </c>
      <c r="E1502" s="5">
        <v>1.532</v>
      </c>
      <c r="F1502" s="5">
        <v>0.32600000000000001</v>
      </c>
    </row>
    <row r="1503" spans="2:6" x14ac:dyDescent="0.2">
      <c r="B1503" s="9" t="s">
        <v>8926</v>
      </c>
      <c r="C1503" s="15" t="s">
        <v>8927</v>
      </c>
      <c r="D1503" s="12" t="str">
        <f>"2469-9322"</f>
        <v>2469-9322</v>
      </c>
      <c r="E1503" s="5">
        <v>1.7869999999999999</v>
      </c>
      <c r="F1503" s="5">
        <v>0.28999999999999998</v>
      </c>
    </row>
    <row r="1504" spans="2:6" x14ac:dyDescent="0.2">
      <c r="B1504" s="9" t="s">
        <v>2209</v>
      </c>
      <c r="C1504" s="15" t="s">
        <v>2210</v>
      </c>
      <c r="D1504" s="12" t="str">
        <f>"1420-0597"</f>
        <v>1420-0597</v>
      </c>
      <c r="E1504" s="5">
        <v>2.4129999999999998</v>
      </c>
      <c r="F1504" s="5">
        <v>0.42199999999999999</v>
      </c>
    </row>
    <row r="1505" spans="2:6" x14ac:dyDescent="0.2">
      <c r="B1505" s="9" t="s">
        <v>6361</v>
      </c>
      <c r="C1505" s="15" t="s">
        <v>3919</v>
      </c>
      <c r="D1505" s="12" t="str">
        <f>"1613-9658"</f>
        <v>1613-9658</v>
      </c>
      <c r="E1505" s="5">
        <v>1</v>
      </c>
      <c r="F1505" s="5">
        <v>0.24</v>
      </c>
    </row>
    <row r="1506" spans="2:6" x14ac:dyDescent="0.2">
      <c r="B1506" s="9" t="s">
        <v>6356</v>
      </c>
      <c r="C1506" s="15" t="s">
        <v>3914</v>
      </c>
      <c r="D1506" s="12" t="str">
        <f>"1476-9271"</f>
        <v>1476-9271</v>
      </c>
      <c r="E1506" s="5">
        <v>2.8769999999999998</v>
      </c>
      <c r="F1506" s="5">
        <v>0.64500000000000002</v>
      </c>
    </row>
    <row r="1507" spans="2:6" x14ac:dyDescent="0.2">
      <c r="B1507" s="9" t="s">
        <v>6357</v>
      </c>
      <c r="C1507" s="15" t="s">
        <v>3915</v>
      </c>
      <c r="D1507" s="12" t="str">
        <f>"0010-4825"</f>
        <v>0010-4825</v>
      </c>
      <c r="E1507" s="5">
        <v>4.5890000000000004</v>
      </c>
      <c r="F1507" s="5">
        <v>0.89700000000000002</v>
      </c>
    </row>
    <row r="1508" spans="2:6" x14ac:dyDescent="0.2">
      <c r="B1508" s="9" t="s">
        <v>2169</v>
      </c>
      <c r="C1508" s="15" t="s">
        <v>2170</v>
      </c>
      <c r="D1508" s="12" t="str">
        <f>"0098-1354"</f>
        <v>0098-1354</v>
      </c>
      <c r="E1508" s="5">
        <v>3.8450000000000002</v>
      </c>
      <c r="F1508" s="5">
        <v>0.66400000000000003</v>
      </c>
    </row>
    <row r="1509" spans="2:6" x14ac:dyDescent="0.2">
      <c r="B1509" s="9" t="s">
        <v>2171</v>
      </c>
      <c r="C1509" s="15" t="s">
        <v>2172</v>
      </c>
      <c r="D1509" s="12" t="str">
        <f>"1598-8198"</f>
        <v>1598-8198</v>
      </c>
      <c r="E1509" s="5">
        <v>3.948</v>
      </c>
      <c r="F1509" s="5">
        <v>0.81299999999999994</v>
      </c>
    </row>
    <row r="1510" spans="2:6" x14ac:dyDescent="0.2">
      <c r="B1510" s="9" t="s">
        <v>2173</v>
      </c>
      <c r="C1510" s="15" t="s">
        <v>2174</v>
      </c>
      <c r="D1510" s="12" t="str">
        <f>"0360-1315"</f>
        <v>0360-1315</v>
      </c>
      <c r="E1510" s="5">
        <v>8.5380000000000003</v>
      </c>
      <c r="F1510" s="5">
        <v>0.99199999999999999</v>
      </c>
    </row>
    <row r="1511" spans="2:6" x14ac:dyDescent="0.2">
      <c r="B1511" s="9" t="s">
        <v>2175</v>
      </c>
      <c r="C1511" s="15" t="s">
        <v>2176</v>
      </c>
      <c r="D1511" s="12" t="str">
        <f>"0045-7906"</f>
        <v>0045-7906</v>
      </c>
      <c r="E1511" s="5">
        <v>3.8180000000000001</v>
      </c>
      <c r="F1511" s="5">
        <v>0.755</v>
      </c>
    </row>
    <row r="1512" spans="2:6" x14ac:dyDescent="0.2">
      <c r="B1512" s="9" t="s">
        <v>2177</v>
      </c>
      <c r="C1512" s="15" t="s">
        <v>2178</v>
      </c>
      <c r="D1512" s="12" t="str">
        <f>"0168-1699"</f>
        <v>0168-1699</v>
      </c>
      <c r="E1512" s="5">
        <v>5.5650000000000004</v>
      </c>
      <c r="F1512" s="5">
        <v>0.98199999999999998</v>
      </c>
    </row>
    <row r="1513" spans="2:6" x14ac:dyDescent="0.2">
      <c r="B1513" s="9" t="s">
        <v>2179</v>
      </c>
      <c r="C1513" s="15" t="s">
        <v>2180</v>
      </c>
      <c r="D1513" s="12" t="str">
        <f>"0045-7930"</f>
        <v>0045-7930</v>
      </c>
      <c r="E1513" s="5">
        <v>3.0129999999999999</v>
      </c>
      <c r="F1513" s="5">
        <v>0.65200000000000002</v>
      </c>
    </row>
    <row r="1514" spans="2:6" x14ac:dyDescent="0.2">
      <c r="B1514" s="9" t="s">
        <v>2181</v>
      </c>
      <c r="C1514" s="15" t="s">
        <v>2182</v>
      </c>
      <c r="D1514" s="12" t="str">
        <f>"0098-3004"</f>
        <v>0098-3004</v>
      </c>
      <c r="E1514" s="5">
        <v>3.3719999999999999</v>
      </c>
      <c r="F1514" s="5">
        <v>0.63800000000000001</v>
      </c>
    </row>
    <row r="1515" spans="2:6" x14ac:dyDescent="0.2">
      <c r="B1515" s="9" t="s">
        <v>2183</v>
      </c>
      <c r="C1515" s="15" t="s">
        <v>2184</v>
      </c>
      <c r="D1515" s="12" t="str">
        <f>"0266-352X"</f>
        <v>0266-352X</v>
      </c>
      <c r="E1515" s="5">
        <v>4.9560000000000004</v>
      </c>
      <c r="F1515" s="5">
        <v>0.879</v>
      </c>
    </row>
    <row r="1516" spans="2:6" x14ac:dyDescent="0.2">
      <c r="B1516" s="9" t="s">
        <v>2185</v>
      </c>
      <c r="C1516" s="15" t="s">
        <v>2186</v>
      </c>
      <c r="D1516" s="12" t="str">
        <f>"0747-5632"</f>
        <v>0747-5632</v>
      </c>
      <c r="E1516" s="5">
        <v>6.8289999999999997</v>
      </c>
      <c r="F1516" s="5">
        <v>0.97799999999999998</v>
      </c>
    </row>
    <row r="1517" spans="2:6" x14ac:dyDescent="0.2">
      <c r="B1517" s="9" t="s">
        <v>2187</v>
      </c>
      <c r="C1517" s="15" t="s">
        <v>2188</v>
      </c>
      <c r="D1517" s="12" t="str">
        <f>"0166-3615"</f>
        <v>0166-3615</v>
      </c>
      <c r="E1517" s="5">
        <v>7.6349999999999998</v>
      </c>
      <c r="F1517" s="5">
        <v>0.92800000000000005</v>
      </c>
    </row>
    <row r="1518" spans="2:6" x14ac:dyDescent="0.2">
      <c r="B1518" s="9" t="s">
        <v>2189</v>
      </c>
      <c r="C1518" s="15" t="s">
        <v>2190</v>
      </c>
      <c r="D1518" s="12" t="str">
        <f>"0360-8352"</f>
        <v>0360-8352</v>
      </c>
      <c r="E1518" s="5">
        <v>5.431</v>
      </c>
      <c r="F1518" s="5">
        <v>0.82</v>
      </c>
    </row>
    <row r="1519" spans="2:6" x14ac:dyDescent="0.2">
      <c r="B1519" s="9" t="s">
        <v>8928</v>
      </c>
      <c r="C1519" s="15" t="s">
        <v>8929</v>
      </c>
      <c r="D1519" s="12" t="str">
        <f>"1687-5265"</f>
        <v>1687-5265</v>
      </c>
      <c r="E1519" s="5">
        <v>3.633</v>
      </c>
      <c r="F1519" s="5">
        <v>0.81</v>
      </c>
    </row>
    <row r="1520" spans="2:6" x14ac:dyDescent="0.2">
      <c r="B1520" s="9" t="s">
        <v>2191</v>
      </c>
      <c r="C1520" s="15" t="s">
        <v>2192</v>
      </c>
      <c r="D1520" s="12" t="str">
        <f>"0891-2017"</f>
        <v>0891-2017</v>
      </c>
      <c r="E1520" s="5">
        <v>2.2709999999999999</v>
      </c>
      <c r="F1520" s="5">
        <v>0.80200000000000005</v>
      </c>
    </row>
    <row r="1521" spans="2:6" x14ac:dyDescent="0.2">
      <c r="B1521" s="9" t="s">
        <v>2193</v>
      </c>
      <c r="C1521" s="15" t="s">
        <v>2194</v>
      </c>
      <c r="D1521" s="12" t="str">
        <f>"0898-1221"</f>
        <v>0898-1221</v>
      </c>
      <c r="E1521" s="5">
        <v>3.476</v>
      </c>
      <c r="F1521" s="5">
        <v>0.94299999999999995</v>
      </c>
    </row>
    <row r="1522" spans="2:6" x14ac:dyDescent="0.2">
      <c r="B1522" s="9" t="s">
        <v>8930</v>
      </c>
      <c r="C1522" s="15" t="s">
        <v>8931</v>
      </c>
      <c r="D1522" s="12" t="str">
        <f>"1381-298X"</f>
        <v>1381-298X</v>
      </c>
      <c r="E1522" s="5">
        <v>2.0230000000000001</v>
      </c>
      <c r="F1522" s="5">
        <v>0.5</v>
      </c>
    </row>
    <row r="1523" spans="2:6" x14ac:dyDescent="0.2">
      <c r="B1523" s="9" t="s">
        <v>6358</v>
      </c>
      <c r="C1523" s="15" t="s">
        <v>3916</v>
      </c>
      <c r="D1523" s="12" t="str">
        <f>"0895-6111"</f>
        <v>0895-6111</v>
      </c>
      <c r="E1523" s="5">
        <v>4.79</v>
      </c>
      <c r="F1523" s="5">
        <v>0.80500000000000005</v>
      </c>
    </row>
    <row r="1524" spans="2:6" x14ac:dyDescent="0.2">
      <c r="B1524" s="9" t="s">
        <v>2195</v>
      </c>
      <c r="C1524" s="15" t="s">
        <v>2196</v>
      </c>
      <c r="D1524" s="12" t="str">
        <f>"1025-5842"</f>
        <v>1025-5842</v>
      </c>
      <c r="E1524" s="5">
        <v>1.7629999999999999</v>
      </c>
      <c r="F1524" s="5">
        <v>0.23400000000000001</v>
      </c>
    </row>
    <row r="1525" spans="2:6" x14ac:dyDescent="0.2">
      <c r="B1525" s="9" t="s">
        <v>6359</v>
      </c>
      <c r="C1525" s="15" t="s">
        <v>3917</v>
      </c>
      <c r="D1525" s="12" t="str">
        <f>"0169-2607"</f>
        <v>0169-2607</v>
      </c>
      <c r="E1525" s="5">
        <v>5.4279999999999999</v>
      </c>
      <c r="F1525" s="5">
        <v>0.89100000000000001</v>
      </c>
    </row>
    <row r="1526" spans="2:6" x14ac:dyDescent="0.2">
      <c r="B1526" s="9" t="s">
        <v>2197</v>
      </c>
      <c r="C1526" s="15" t="s">
        <v>2198</v>
      </c>
      <c r="D1526" s="12" t="str">
        <f>"0148-9267"</f>
        <v>0148-9267</v>
      </c>
      <c r="E1526" s="5">
        <v>0.192</v>
      </c>
      <c r="F1526" s="5">
        <v>8.9999999999999993E-3</v>
      </c>
    </row>
    <row r="1527" spans="2:6" x14ac:dyDescent="0.2">
      <c r="B1527" s="9" t="s">
        <v>2199</v>
      </c>
      <c r="C1527" s="15" t="s">
        <v>2200</v>
      </c>
      <c r="D1527" s="12" t="str">
        <f>"0305-0548"</f>
        <v>0305-0548</v>
      </c>
      <c r="E1527" s="5">
        <v>4.008</v>
      </c>
      <c r="F1527" s="5">
        <v>0.71399999999999997</v>
      </c>
    </row>
    <row r="1528" spans="2:6" x14ac:dyDescent="0.2">
      <c r="B1528" s="9" t="s">
        <v>2201</v>
      </c>
      <c r="C1528" s="15" t="s">
        <v>2202</v>
      </c>
      <c r="D1528" s="12" t="str">
        <f>"0010-4655"</f>
        <v>0010-4655</v>
      </c>
      <c r="E1528" s="5">
        <v>4.3899999999999997</v>
      </c>
      <c r="F1528" s="5">
        <v>0.98199999999999998</v>
      </c>
    </row>
    <row r="1529" spans="2:6" x14ac:dyDescent="0.2">
      <c r="B1529" s="9" t="s">
        <v>2203</v>
      </c>
      <c r="C1529" s="15" t="s">
        <v>2204</v>
      </c>
      <c r="D1529" s="12" t="str">
        <f>"1521-9615"</f>
        <v>1521-9615</v>
      </c>
      <c r="E1529" s="5">
        <v>2.08</v>
      </c>
      <c r="F1529" s="5">
        <v>0.32400000000000001</v>
      </c>
    </row>
    <row r="1530" spans="2:6" x14ac:dyDescent="0.2">
      <c r="B1530" s="9" t="s">
        <v>6360</v>
      </c>
      <c r="C1530" s="15" t="s">
        <v>3918</v>
      </c>
      <c r="D1530" s="12" t="str">
        <f>"0167-9473"</f>
        <v>0167-9473</v>
      </c>
      <c r="E1530" s="5">
        <v>1.681</v>
      </c>
      <c r="F1530" s="5">
        <v>0.56000000000000005</v>
      </c>
    </row>
    <row r="1531" spans="2:6" x14ac:dyDescent="0.2">
      <c r="B1531" s="9" t="s">
        <v>2205</v>
      </c>
      <c r="C1531" s="15" t="s">
        <v>2206</v>
      </c>
      <c r="D1531" s="12" t="str">
        <f>"0045-7949"</f>
        <v>0045-7949</v>
      </c>
      <c r="E1531" s="5">
        <v>4.5780000000000003</v>
      </c>
      <c r="F1531" s="5">
        <v>0.86799999999999999</v>
      </c>
    </row>
    <row r="1532" spans="2:6" x14ac:dyDescent="0.2">
      <c r="B1532" s="9" t="s">
        <v>8932</v>
      </c>
      <c r="C1532" s="15" t="s">
        <v>8933</v>
      </c>
      <c r="D1532" s="12" t="str">
        <f>"2001-0370"</f>
        <v>2001-0370</v>
      </c>
      <c r="E1532" s="5">
        <v>7.2709999999999999</v>
      </c>
      <c r="F1532" s="5">
        <v>0.85099999999999998</v>
      </c>
    </row>
    <row r="1533" spans="2:6" ht="25.5" x14ac:dyDescent="0.2">
      <c r="B1533" s="9" t="s">
        <v>8934</v>
      </c>
      <c r="C1533" s="15" t="s">
        <v>8935</v>
      </c>
      <c r="D1533" s="12" t="str">
        <f>"0925-9724"</f>
        <v>0925-9724</v>
      </c>
      <c r="E1533" s="5">
        <v>1.825</v>
      </c>
      <c r="F1533" s="5">
        <v>0.252</v>
      </c>
    </row>
    <row r="1534" spans="2:6" x14ac:dyDescent="0.2">
      <c r="B1534" s="9" t="s">
        <v>6362</v>
      </c>
      <c r="C1534" s="15" t="s">
        <v>3920</v>
      </c>
      <c r="D1534" s="12" t="str">
        <f>"1546-6086"</f>
        <v>1546-6086</v>
      </c>
      <c r="E1534" s="5">
        <v>0.48099999999999998</v>
      </c>
      <c r="F1534" s="5">
        <v>2.7E-2</v>
      </c>
    </row>
    <row r="1535" spans="2:6" x14ac:dyDescent="0.2">
      <c r="B1535" s="9" t="s">
        <v>2211</v>
      </c>
      <c r="C1535" s="15" t="s">
        <v>2212</v>
      </c>
      <c r="D1535" s="12" t="str">
        <f>"1063-293X"</f>
        <v>1063-293X</v>
      </c>
      <c r="E1535" s="5">
        <v>1.038</v>
      </c>
      <c r="F1535" s="5">
        <v>0.08</v>
      </c>
    </row>
    <row r="1536" spans="2:6" x14ac:dyDescent="0.2">
      <c r="B1536" s="9" t="s">
        <v>8936</v>
      </c>
      <c r="C1536" s="15" t="s">
        <v>8937</v>
      </c>
      <c r="D1536" s="12" t="str">
        <f>"1752-1505"</f>
        <v>1752-1505</v>
      </c>
      <c r="E1536" s="5">
        <v>2.7229999999999999</v>
      </c>
      <c r="F1536" s="5">
        <v>0.57299999999999995</v>
      </c>
    </row>
    <row r="1537" spans="2:6" x14ac:dyDescent="0.2">
      <c r="B1537" s="9" t="s">
        <v>8938</v>
      </c>
      <c r="C1537" s="15" t="s">
        <v>8939</v>
      </c>
      <c r="D1537" s="12" t="str">
        <f>"0914-3505"</f>
        <v>0914-3505</v>
      </c>
      <c r="E1537" s="5">
        <v>1.409</v>
      </c>
      <c r="F1537" s="5">
        <v>0.19400000000000001</v>
      </c>
    </row>
    <row r="1538" spans="2:6" x14ac:dyDescent="0.2">
      <c r="B1538" s="9" t="s">
        <v>8940</v>
      </c>
      <c r="C1538" s="15" t="s">
        <v>8941</v>
      </c>
      <c r="D1538" s="12" t="str">
        <f>"1747-079X"</f>
        <v>1747-079X</v>
      </c>
      <c r="E1538" s="5">
        <v>2.0070000000000001</v>
      </c>
      <c r="F1538" s="5">
        <v>0.248</v>
      </c>
    </row>
    <row r="1539" spans="2:6" x14ac:dyDescent="0.2">
      <c r="B1539" s="9" t="s">
        <v>6363</v>
      </c>
      <c r="C1539" s="15" t="s">
        <v>3921</v>
      </c>
      <c r="D1539" s="12" t="str">
        <f>"1607-8438"</f>
        <v>1607-8438</v>
      </c>
      <c r="E1539" s="5">
        <v>3.4169999999999998</v>
      </c>
      <c r="F1539" s="5">
        <v>0.753</v>
      </c>
    </row>
    <row r="1540" spans="2:6" x14ac:dyDescent="0.2">
      <c r="B1540" s="9" t="s">
        <v>2213</v>
      </c>
      <c r="C1540" s="15" t="s">
        <v>2214</v>
      </c>
      <c r="D1540" s="12" t="str">
        <f>"1053-8100"</f>
        <v>1053-8100</v>
      </c>
      <c r="E1540" s="5">
        <v>2.444</v>
      </c>
      <c r="F1540" s="5">
        <v>0.5</v>
      </c>
    </row>
    <row r="1541" spans="2:6" x14ac:dyDescent="0.2">
      <c r="B1541" s="9" t="s">
        <v>6364</v>
      </c>
      <c r="C1541" s="15" t="s">
        <v>3922</v>
      </c>
      <c r="D1541" s="12" t="str">
        <f>"1572-9737"</f>
        <v>1572-9737</v>
      </c>
      <c r="E1541" s="5">
        <v>2.5379999999999998</v>
      </c>
      <c r="F1541" s="5">
        <v>0.6</v>
      </c>
    </row>
    <row r="1542" spans="2:6" x14ac:dyDescent="0.2">
      <c r="B1542" s="9" t="s">
        <v>8942</v>
      </c>
      <c r="C1542" s="15" t="s">
        <v>8943</v>
      </c>
      <c r="D1542" s="12" t="str">
        <f>"1877-7252"</f>
        <v>1877-7252</v>
      </c>
      <c r="E1542" s="5">
        <v>0.97299999999999998</v>
      </c>
      <c r="F1542" s="5">
        <v>0.217</v>
      </c>
    </row>
    <row r="1543" spans="2:6" x14ac:dyDescent="0.2">
      <c r="B1543" s="9" t="s">
        <v>8944</v>
      </c>
      <c r="C1543" s="15" t="s">
        <v>8945</v>
      </c>
      <c r="D1543" s="12" t="str">
        <f>"2051-1434"</f>
        <v>2051-1434</v>
      </c>
      <c r="E1543" s="5">
        <v>3.0790000000000002</v>
      </c>
      <c r="F1543" s="5">
        <v>0.75</v>
      </c>
    </row>
    <row r="1544" spans="2:6" x14ac:dyDescent="0.2">
      <c r="B1544" s="9" t="s">
        <v>6365</v>
      </c>
      <c r="C1544" s="15" t="s">
        <v>6365</v>
      </c>
      <c r="D1544" s="12" t="str">
        <f>"0105-1873"</f>
        <v>0105-1873</v>
      </c>
      <c r="E1544" s="5">
        <v>6.6</v>
      </c>
      <c r="F1544" s="5">
        <v>0.92600000000000005</v>
      </c>
    </row>
    <row r="1545" spans="2:6" x14ac:dyDescent="0.2">
      <c r="B1545" s="9" t="s">
        <v>8946</v>
      </c>
      <c r="C1545" s="15" t="s">
        <v>8947</v>
      </c>
      <c r="D1545" s="12" t="str">
        <f>"1367-0484"</f>
        <v>1367-0484</v>
      </c>
      <c r="E1545" s="5">
        <v>3.077</v>
      </c>
      <c r="F1545" s="5">
        <v>0.61299999999999999</v>
      </c>
    </row>
    <row r="1546" spans="2:6" x14ac:dyDescent="0.2">
      <c r="B1546" s="9" t="s">
        <v>6366</v>
      </c>
      <c r="C1546" s="15" t="s">
        <v>3923</v>
      </c>
      <c r="D1546" s="12" t="str">
        <f>"1551-7144"</f>
        <v>1551-7144</v>
      </c>
      <c r="E1546" s="5">
        <v>2.226</v>
      </c>
      <c r="F1546" s="5">
        <v>0.23300000000000001</v>
      </c>
    </row>
    <row r="1547" spans="2:6" x14ac:dyDescent="0.2">
      <c r="B1547" s="9" t="s">
        <v>2215</v>
      </c>
      <c r="C1547" s="15" t="s">
        <v>2216</v>
      </c>
      <c r="D1547" s="12" t="str">
        <f>"0361-476X"</f>
        <v>0361-476X</v>
      </c>
      <c r="E1547" s="5">
        <v>4.2770000000000001</v>
      </c>
      <c r="F1547" s="5">
        <v>0.81699999999999995</v>
      </c>
    </row>
    <row r="1548" spans="2:6" x14ac:dyDescent="0.2">
      <c r="B1548" s="9" t="s">
        <v>2217</v>
      </c>
      <c r="C1548" s="15" t="s">
        <v>2218</v>
      </c>
      <c r="D1548" s="12" t="str">
        <f>"1037-6178"</f>
        <v>1037-6178</v>
      </c>
      <c r="E1548" s="5">
        <v>1.7869999999999999</v>
      </c>
      <c r="F1548" s="5">
        <v>0.44400000000000001</v>
      </c>
    </row>
    <row r="1549" spans="2:6" x14ac:dyDescent="0.2">
      <c r="B1549" s="9" t="s">
        <v>2219</v>
      </c>
      <c r="C1549" s="15" t="s">
        <v>2220</v>
      </c>
      <c r="D1549" s="12" t="str">
        <f>"0010-7530"</f>
        <v>0010-7530</v>
      </c>
      <c r="E1549" s="5">
        <v>0.38600000000000001</v>
      </c>
      <c r="F1549" s="5">
        <v>0.23100000000000001</v>
      </c>
    </row>
    <row r="1550" spans="2:6" x14ac:dyDescent="0.2">
      <c r="B1550" s="9" t="s">
        <v>2221</v>
      </c>
      <c r="C1550" s="15" t="s">
        <v>2222</v>
      </c>
      <c r="D1550" s="12" t="str">
        <f>"0268-4160"</f>
        <v>0268-4160</v>
      </c>
      <c r="E1550" s="5">
        <v>1.2669999999999999</v>
      </c>
      <c r="F1550" s="5">
        <v>0.30299999999999999</v>
      </c>
    </row>
    <row r="1551" spans="2:6" x14ac:dyDescent="0.2">
      <c r="B1551" s="9" t="s">
        <v>6367</v>
      </c>
      <c r="C1551" s="15" t="s">
        <v>6367</v>
      </c>
      <c r="D1551" s="12" t="str">
        <f>"0010-7824"</f>
        <v>0010-7824</v>
      </c>
      <c r="E1551" s="5">
        <v>3.375</v>
      </c>
      <c r="F1551" s="5">
        <v>0.69899999999999995</v>
      </c>
    </row>
    <row r="1552" spans="2:6" x14ac:dyDescent="0.2">
      <c r="B1552" s="9" t="s">
        <v>2223</v>
      </c>
      <c r="C1552" s="15" t="s">
        <v>2224</v>
      </c>
      <c r="D1552" s="12" t="str">
        <f>"1555-4309"</f>
        <v>1555-4309</v>
      </c>
      <c r="E1552" s="5">
        <v>3.161</v>
      </c>
      <c r="F1552" s="5">
        <v>0.57099999999999995</v>
      </c>
    </row>
    <row r="1553" spans="2:6" x14ac:dyDescent="0.2">
      <c r="B1553" s="9" t="s">
        <v>6368</v>
      </c>
      <c r="C1553" s="15" t="s">
        <v>8948</v>
      </c>
      <c r="D1553" s="12" t="str">
        <f>"0302-5144"</f>
        <v>0302-5144</v>
      </c>
      <c r="E1553" s="5">
        <v>1.58</v>
      </c>
      <c r="F1553" s="5">
        <v>0.16900000000000001</v>
      </c>
    </row>
    <row r="1554" spans="2:6" x14ac:dyDescent="0.2">
      <c r="B1554" s="9" t="s">
        <v>8949</v>
      </c>
      <c r="C1554" s="15" t="s">
        <v>8950</v>
      </c>
      <c r="D1554" s="12" t="str">
        <f>"1541-2555"</f>
        <v>1541-2555</v>
      </c>
      <c r="E1554" s="5">
        <v>2.4089999999999998</v>
      </c>
      <c r="F1554" s="5">
        <v>0.219</v>
      </c>
    </row>
    <row r="1555" spans="2:6" x14ac:dyDescent="0.2">
      <c r="B1555" s="9" t="s">
        <v>8951</v>
      </c>
      <c r="C1555" s="15" t="s">
        <v>8952</v>
      </c>
      <c r="D1555" s="12" t="str">
        <f>"2372-952X"</f>
        <v>2372-952X</v>
      </c>
      <c r="E1555" s="5">
        <v>3.39</v>
      </c>
      <c r="F1555" s="5">
        <v>0.56299999999999994</v>
      </c>
    </row>
    <row r="1556" spans="2:6" x14ac:dyDescent="0.2">
      <c r="B1556" s="9" t="s">
        <v>6369</v>
      </c>
      <c r="C1556" s="15" t="s">
        <v>6369</v>
      </c>
      <c r="D1556" s="12" t="str">
        <f>"0277-3740"</f>
        <v>0277-3740</v>
      </c>
      <c r="E1556" s="5">
        <v>2.6509999999999998</v>
      </c>
      <c r="F1556" s="5">
        <v>0.5</v>
      </c>
    </row>
    <row r="1557" spans="2:6" x14ac:dyDescent="0.2">
      <c r="B1557" s="9" t="s">
        <v>6370</v>
      </c>
      <c r="C1557" s="15" t="s">
        <v>3924</v>
      </c>
      <c r="D1557" s="12" t="str">
        <f>"0954-6928"</f>
        <v>0954-6928</v>
      </c>
      <c r="E1557" s="5">
        <v>1.4390000000000001</v>
      </c>
      <c r="F1557" s="5">
        <v>7.0999999999999994E-2</v>
      </c>
    </row>
    <row r="1558" spans="2:6" x14ac:dyDescent="0.2">
      <c r="B1558" s="9" t="s">
        <v>8953</v>
      </c>
      <c r="C1558" s="15" t="s">
        <v>8954</v>
      </c>
      <c r="D1558" s="12" t="str">
        <f>"2100-9619"</f>
        <v>2100-9619</v>
      </c>
      <c r="E1558" s="5">
        <v>0</v>
      </c>
      <c r="F1558" s="5">
        <v>1.0999999999999999E-2</v>
      </c>
    </row>
    <row r="1559" spans="2:6" x14ac:dyDescent="0.2">
      <c r="B1559" s="9" t="s">
        <v>6371</v>
      </c>
      <c r="C1559" s="15" t="s">
        <v>6371</v>
      </c>
      <c r="D1559" s="12" t="str">
        <f>"0010-9452"</f>
        <v>0010-9452</v>
      </c>
      <c r="E1559" s="5">
        <v>4.0270000000000001</v>
      </c>
      <c r="F1559" s="5">
        <v>0.88700000000000001</v>
      </c>
    </row>
    <row r="1560" spans="2:6" x14ac:dyDescent="0.2">
      <c r="B1560" s="9" t="s">
        <v>8955</v>
      </c>
      <c r="C1560" s="15" t="s">
        <v>8956</v>
      </c>
      <c r="D1560" s="12" t="str">
        <f>"1478-7547"</f>
        <v>1478-7547</v>
      </c>
      <c r="E1560" s="5">
        <v>2.532</v>
      </c>
      <c r="F1560" s="5">
        <v>0.48899999999999999</v>
      </c>
    </row>
    <row r="1561" spans="2:6" x14ac:dyDescent="0.2">
      <c r="B1561" s="9" t="s">
        <v>2225</v>
      </c>
      <c r="C1561" s="15" t="s">
        <v>2226</v>
      </c>
      <c r="D1561" s="12" t="str">
        <f>"0011-0000"</f>
        <v>0011-0000</v>
      </c>
      <c r="E1561" s="5">
        <v>2.2080000000000002</v>
      </c>
      <c r="F1561" s="5">
        <v>0.34899999999999998</v>
      </c>
    </row>
    <row r="1562" spans="2:6" x14ac:dyDescent="0.2">
      <c r="B1562" s="9" t="s">
        <v>8957</v>
      </c>
      <c r="C1562" s="15" t="s">
        <v>8958</v>
      </c>
      <c r="D1562" s="12" t="str">
        <f>"2163-8306"</f>
        <v>2163-8306</v>
      </c>
      <c r="E1562" s="5">
        <v>4.0540000000000003</v>
      </c>
      <c r="F1562" s="5">
        <v>0.61799999999999999</v>
      </c>
    </row>
    <row r="1563" spans="2:6" x14ac:dyDescent="0.2">
      <c r="B1563" s="9" t="s">
        <v>2227</v>
      </c>
      <c r="C1563" s="15" t="s">
        <v>2228</v>
      </c>
      <c r="D1563" s="12" t="str">
        <f>"1310-1331"</f>
        <v>1310-1331</v>
      </c>
      <c r="E1563" s="5">
        <v>0.378</v>
      </c>
      <c r="F1563" s="5">
        <v>2.8000000000000001E-2</v>
      </c>
    </row>
    <row r="1564" spans="2:6" x14ac:dyDescent="0.2">
      <c r="B1564" s="9" t="s">
        <v>6374</v>
      </c>
      <c r="C1564" s="15" t="s">
        <v>8959</v>
      </c>
      <c r="D1564" s="12" t="str">
        <f>"2151-0903"</f>
        <v>2151-0903</v>
      </c>
      <c r="E1564" s="5">
        <v>2.02</v>
      </c>
      <c r="F1564" s="5">
        <v>0.31900000000000001</v>
      </c>
    </row>
    <row r="1565" spans="2:6" x14ac:dyDescent="0.2">
      <c r="B1565" s="9" t="s">
        <v>6372</v>
      </c>
      <c r="C1565" s="15" t="s">
        <v>3925</v>
      </c>
      <c r="D1565" s="12" t="str">
        <f>"1631-0691"</f>
        <v>1631-0691</v>
      </c>
      <c r="E1565" s="5">
        <v>1.583</v>
      </c>
      <c r="F1565" s="5">
        <v>0.312</v>
      </c>
    </row>
    <row r="1566" spans="2:6" x14ac:dyDescent="0.2">
      <c r="B1566" s="9" t="s">
        <v>6373</v>
      </c>
      <c r="C1566" s="15" t="s">
        <v>3926</v>
      </c>
      <c r="D1566" s="12" t="str">
        <f>"1631-0748"</f>
        <v>1631-0748</v>
      </c>
      <c r="E1566" s="5">
        <v>3.117</v>
      </c>
      <c r="F1566" s="5">
        <v>0.51100000000000001</v>
      </c>
    </row>
    <row r="1567" spans="2:6" x14ac:dyDescent="0.2">
      <c r="B1567" s="9" t="s">
        <v>2229</v>
      </c>
      <c r="C1567" s="15" t="s">
        <v>2230</v>
      </c>
      <c r="D1567" s="12" t="str">
        <f>"1040-0419"</f>
        <v>1040-0419</v>
      </c>
      <c r="E1567" s="5">
        <v>2.371</v>
      </c>
      <c r="F1567" s="5">
        <v>0.56799999999999995</v>
      </c>
    </row>
    <row r="1568" spans="2:6" x14ac:dyDescent="0.2">
      <c r="B1568" s="9" t="s">
        <v>8960</v>
      </c>
      <c r="C1568" s="15" t="s">
        <v>8961</v>
      </c>
      <c r="D1568" s="12" t="str">
        <f>"0957-9664"</f>
        <v>0957-9664</v>
      </c>
      <c r="E1568" s="5">
        <v>1.929</v>
      </c>
      <c r="F1568" s="5">
        <v>0.377</v>
      </c>
    </row>
    <row r="1569" spans="2:6" x14ac:dyDescent="0.2">
      <c r="B1569" s="9" t="s">
        <v>2233</v>
      </c>
      <c r="C1569" s="15" t="s">
        <v>2234</v>
      </c>
      <c r="D1569" s="12" t="str">
        <f>"0925-4994"</f>
        <v>0925-4994</v>
      </c>
      <c r="E1569" s="5">
        <v>1.4370000000000001</v>
      </c>
      <c r="F1569" s="5">
        <v>0.36699999999999999</v>
      </c>
    </row>
    <row r="1570" spans="2:6" x14ac:dyDescent="0.2">
      <c r="B1570" s="9" t="s">
        <v>2231</v>
      </c>
      <c r="C1570" s="15" t="s">
        <v>2232</v>
      </c>
      <c r="D1570" s="12" t="str">
        <f>"0093-8548"</f>
        <v>0093-8548</v>
      </c>
      <c r="E1570" s="5">
        <v>2.8010000000000002</v>
      </c>
      <c r="F1570" s="5">
        <v>0.63800000000000001</v>
      </c>
    </row>
    <row r="1571" spans="2:6" x14ac:dyDescent="0.2">
      <c r="B1571" s="9" t="s">
        <v>2235</v>
      </c>
      <c r="C1571" s="15" t="s">
        <v>2236</v>
      </c>
      <c r="D1571" s="12" t="str">
        <f>"0227-5910"</f>
        <v>0227-5910</v>
      </c>
      <c r="E1571" s="5">
        <v>3.2869999999999999</v>
      </c>
      <c r="F1571" s="5">
        <v>0.74099999999999999</v>
      </c>
    </row>
    <row r="1572" spans="2:6" x14ac:dyDescent="0.2">
      <c r="B1572" s="9" t="s">
        <v>8962</v>
      </c>
      <c r="C1572" s="15" t="s">
        <v>8963</v>
      </c>
      <c r="D1572" s="12" t="str">
        <f>"2573-1599"</f>
        <v>2573-1599</v>
      </c>
      <c r="E1572" s="5">
        <v>6.0709999999999997</v>
      </c>
      <c r="F1572" s="5">
        <v>0.86899999999999999</v>
      </c>
    </row>
    <row r="1573" spans="2:6" x14ac:dyDescent="0.2">
      <c r="B1573" s="9" t="s">
        <v>6375</v>
      </c>
      <c r="C1573" s="15" t="s">
        <v>3927</v>
      </c>
      <c r="D1573" s="12" t="str">
        <f>"1364-8535"</f>
        <v>1364-8535</v>
      </c>
      <c r="E1573" s="5">
        <v>9.0969999999999995</v>
      </c>
      <c r="F1573" s="5">
        <v>0.88900000000000001</v>
      </c>
    </row>
    <row r="1574" spans="2:6" x14ac:dyDescent="0.2">
      <c r="B1574" s="9" t="s">
        <v>6376</v>
      </c>
      <c r="C1574" s="15" t="s">
        <v>3928</v>
      </c>
      <c r="D1574" s="12" t="str">
        <f>"0749-0704"</f>
        <v>0749-0704</v>
      </c>
      <c r="E1574" s="5">
        <v>3.5979999999999999</v>
      </c>
      <c r="F1574" s="5">
        <v>0.61099999999999999</v>
      </c>
    </row>
    <row r="1575" spans="2:6" x14ac:dyDescent="0.2">
      <c r="B1575" s="9" t="s">
        <v>6377</v>
      </c>
      <c r="C1575" s="15" t="s">
        <v>3929</v>
      </c>
      <c r="D1575" s="12" t="str">
        <f>"0090-3493"</f>
        <v>0090-3493</v>
      </c>
      <c r="E1575" s="5">
        <v>7.5979999999999999</v>
      </c>
      <c r="F1575" s="5">
        <v>0.86099999999999999</v>
      </c>
    </row>
    <row r="1576" spans="2:6" x14ac:dyDescent="0.2">
      <c r="B1576" s="9" t="s">
        <v>8964</v>
      </c>
      <c r="C1576" s="15" t="s">
        <v>8965</v>
      </c>
      <c r="D1576" s="12" t="str">
        <f>"0899-5885"</f>
        <v>0899-5885</v>
      </c>
      <c r="E1576" s="5">
        <v>1.3260000000000001</v>
      </c>
      <c r="F1576" s="5">
        <v>0.27800000000000002</v>
      </c>
    </row>
    <row r="1577" spans="2:6" x14ac:dyDescent="0.2">
      <c r="B1577" s="9" t="s">
        <v>2237</v>
      </c>
      <c r="C1577" s="15" t="s">
        <v>2238</v>
      </c>
      <c r="D1577" s="12" t="str">
        <f>"0279-5442"</f>
        <v>0279-5442</v>
      </c>
      <c r="E1577" s="5">
        <v>1.708</v>
      </c>
      <c r="F1577" s="5">
        <v>0.39700000000000002</v>
      </c>
    </row>
    <row r="1578" spans="2:6" x14ac:dyDescent="0.2">
      <c r="B1578" s="9" t="s">
        <v>8966</v>
      </c>
      <c r="C1578" s="15" t="s">
        <v>8967</v>
      </c>
      <c r="D1578" s="12" t="str">
        <f>"1441-2772"</f>
        <v>1441-2772</v>
      </c>
      <c r="E1578" s="5">
        <v>2.1589999999999998</v>
      </c>
      <c r="F1578" s="5">
        <v>0.222</v>
      </c>
    </row>
    <row r="1579" spans="2:6" x14ac:dyDescent="0.2">
      <c r="B1579" s="9" t="s">
        <v>8968</v>
      </c>
      <c r="C1579" s="15" t="s">
        <v>8969</v>
      </c>
      <c r="D1579" s="12" t="str">
        <f>"0958-1596"</f>
        <v>0958-1596</v>
      </c>
      <c r="E1579" s="5">
        <v>2.9</v>
      </c>
      <c r="F1579" s="5">
        <v>0.75</v>
      </c>
    </row>
    <row r="1580" spans="2:6" x14ac:dyDescent="0.2">
      <c r="B1580" s="9" t="s">
        <v>2239</v>
      </c>
      <c r="C1580" s="15" t="s">
        <v>2240</v>
      </c>
      <c r="D1580" s="12" t="str">
        <f>"0891-3811"</f>
        <v>0891-3811</v>
      </c>
      <c r="E1580" s="5">
        <v>0.91300000000000003</v>
      </c>
      <c r="F1580" s="5">
        <v>0.17</v>
      </c>
    </row>
    <row r="1581" spans="2:6" x14ac:dyDescent="0.2">
      <c r="B1581" s="9" t="s">
        <v>6378</v>
      </c>
      <c r="C1581" s="15" t="s">
        <v>3930</v>
      </c>
      <c r="D1581" s="12" t="str">
        <f>"1040-8347"</f>
        <v>1040-8347</v>
      </c>
      <c r="E1581" s="5">
        <v>6.5350000000000001</v>
      </c>
      <c r="F1581" s="5">
        <v>0.88</v>
      </c>
    </row>
    <row r="1582" spans="2:6" x14ac:dyDescent="0.2">
      <c r="B1582" s="9" t="s">
        <v>6379</v>
      </c>
      <c r="C1582" s="15" t="s">
        <v>3931</v>
      </c>
      <c r="D1582" s="12" t="str">
        <f>"1040-9238"</f>
        <v>1040-9238</v>
      </c>
      <c r="E1582" s="5">
        <v>8.25</v>
      </c>
      <c r="F1582" s="5">
        <v>0.88200000000000001</v>
      </c>
    </row>
    <row r="1583" spans="2:6" x14ac:dyDescent="0.2">
      <c r="B1583" s="9" t="s">
        <v>6380</v>
      </c>
      <c r="C1583" s="15" t="s">
        <v>3932</v>
      </c>
      <c r="D1583" s="12" t="str">
        <f>"0738-8551"</f>
        <v>0738-8551</v>
      </c>
      <c r="E1583" s="5">
        <v>8.4290000000000003</v>
      </c>
      <c r="F1583" s="5">
        <v>0.91100000000000003</v>
      </c>
    </row>
    <row r="1584" spans="2:6" x14ac:dyDescent="0.2">
      <c r="B1584" s="9" t="s">
        <v>6381</v>
      </c>
      <c r="C1584" s="15" t="s">
        <v>3933</v>
      </c>
      <c r="D1584" s="12" t="str">
        <f>"1040-8363"</f>
        <v>1040-8363</v>
      </c>
      <c r="E1584" s="5">
        <v>6.25</v>
      </c>
      <c r="F1584" s="5">
        <v>0.93100000000000005</v>
      </c>
    </row>
    <row r="1585" spans="2:6" x14ac:dyDescent="0.2">
      <c r="B1585" s="9" t="s">
        <v>6382</v>
      </c>
      <c r="C1585" s="15" t="s">
        <v>3934</v>
      </c>
      <c r="D1585" s="12" t="str">
        <f>"1045-4403"</f>
        <v>1045-4403</v>
      </c>
      <c r="E1585" s="5">
        <v>1.8069999999999999</v>
      </c>
      <c r="F1585" s="5">
        <v>0.189</v>
      </c>
    </row>
    <row r="1586" spans="2:6" x14ac:dyDescent="0.2">
      <c r="B1586" s="9" t="s">
        <v>6383</v>
      </c>
      <c r="C1586" s="15" t="s">
        <v>3935</v>
      </c>
      <c r="D1586" s="12" t="str">
        <f>"1040-8398"</f>
        <v>1040-8398</v>
      </c>
      <c r="E1586" s="5">
        <v>11.176</v>
      </c>
      <c r="F1586" s="5">
        <v>0.97899999999999998</v>
      </c>
    </row>
    <row r="1587" spans="2:6" x14ac:dyDescent="0.2">
      <c r="B1587" s="9" t="s">
        <v>6384</v>
      </c>
      <c r="C1587" s="15" t="s">
        <v>3936</v>
      </c>
      <c r="D1587" s="12" t="str">
        <f>"1040-8401"</f>
        <v>1040-8401</v>
      </c>
      <c r="E1587" s="5">
        <v>2.214</v>
      </c>
      <c r="F1587" s="5">
        <v>0.13600000000000001</v>
      </c>
    </row>
    <row r="1588" spans="2:6" x14ac:dyDescent="0.2">
      <c r="B1588" s="9" t="s">
        <v>6385</v>
      </c>
      <c r="C1588" s="15" t="s">
        <v>3937</v>
      </c>
      <c r="D1588" s="12" t="str">
        <f>"1040-841X"</f>
        <v>1040-841X</v>
      </c>
      <c r="E1588" s="5">
        <v>7.6239999999999997</v>
      </c>
      <c r="F1588" s="5">
        <v>0.88900000000000001</v>
      </c>
    </row>
    <row r="1589" spans="2:6" x14ac:dyDescent="0.2">
      <c r="B1589" s="9" t="s">
        <v>6386</v>
      </c>
      <c r="C1589" s="15" t="s">
        <v>3938</v>
      </c>
      <c r="D1589" s="12" t="str">
        <f>"1040-8428"</f>
        <v>1040-8428</v>
      </c>
      <c r="E1589" s="5">
        <v>6.3120000000000003</v>
      </c>
      <c r="F1589" s="5">
        <v>0.82899999999999996</v>
      </c>
    </row>
    <row r="1590" spans="2:6" x14ac:dyDescent="0.2">
      <c r="B1590" s="9" t="s">
        <v>6387</v>
      </c>
      <c r="C1590" s="15" t="s">
        <v>3939</v>
      </c>
      <c r="D1590" s="12" t="str">
        <f>"0743-4863"</f>
        <v>0743-4863</v>
      </c>
      <c r="E1590" s="5">
        <v>4.8890000000000002</v>
      </c>
      <c r="F1590" s="5">
        <v>0.745</v>
      </c>
    </row>
    <row r="1591" spans="2:6" x14ac:dyDescent="0.2">
      <c r="B1591" s="9" t="s">
        <v>6388</v>
      </c>
      <c r="C1591" s="15" t="s">
        <v>3940</v>
      </c>
      <c r="D1591" s="12" t="str">
        <f>"1547-6898"</f>
        <v>1547-6898</v>
      </c>
      <c r="E1591" s="5">
        <v>5.6349999999999998</v>
      </c>
      <c r="F1591" s="5">
        <v>0.88200000000000001</v>
      </c>
    </row>
    <row r="1592" spans="2:6" x14ac:dyDescent="0.2">
      <c r="B1592" s="9" t="s">
        <v>2241</v>
      </c>
      <c r="C1592" s="15" t="s">
        <v>2242</v>
      </c>
      <c r="D1592" s="12" t="str">
        <f>"0261-0183"</f>
        <v>0261-0183</v>
      </c>
      <c r="E1592" s="5">
        <v>3.569</v>
      </c>
      <c r="F1592" s="5">
        <v>0.872</v>
      </c>
    </row>
    <row r="1593" spans="2:6" x14ac:dyDescent="0.2">
      <c r="B1593" s="9" t="s">
        <v>6389</v>
      </c>
      <c r="C1593" s="15" t="s">
        <v>3941</v>
      </c>
      <c r="D1593" s="12" t="str">
        <f>"0011-1643"</f>
        <v>0011-1643</v>
      </c>
      <c r="E1593" s="5">
        <v>0.88700000000000001</v>
      </c>
      <c r="F1593" s="5">
        <v>0.129</v>
      </c>
    </row>
    <row r="1594" spans="2:6" x14ac:dyDescent="0.2">
      <c r="B1594" s="9" t="s">
        <v>6390</v>
      </c>
      <c r="C1594" s="15" t="s">
        <v>3942</v>
      </c>
      <c r="D1594" s="12" t="str">
        <f>"0353-9504"</f>
        <v>0353-9504</v>
      </c>
      <c r="E1594" s="5">
        <v>1.351</v>
      </c>
      <c r="F1594" s="5">
        <v>0.29899999999999999</v>
      </c>
    </row>
    <row r="1595" spans="2:6" x14ac:dyDescent="0.2">
      <c r="B1595" s="9" t="s">
        <v>2243</v>
      </c>
      <c r="C1595" s="15" t="s">
        <v>2244</v>
      </c>
      <c r="D1595" s="12" t="str">
        <f>"1984-7033"</f>
        <v>1984-7033</v>
      </c>
      <c r="E1595" s="5">
        <v>1.282</v>
      </c>
      <c r="F1595" s="5">
        <v>0.36299999999999999</v>
      </c>
    </row>
    <row r="1596" spans="2:6" x14ac:dyDescent="0.2">
      <c r="B1596" s="9" t="s">
        <v>2245</v>
      </c>
      <c r="C1596" s="15" t="s">
        <v>2246</v>
      </c>
      <c r="D1596" s="12" t="str">
        <f>"1069-3971"</f>
        <v>1069-3971</v>
      </c>
      <c r="E1596" s="5">
        <v>1.909</v>
      </c>
      <c r="F1596" s="5">
        <v>0.47699999999999998</v>
      </c>
    </row>
    <row r="1597" spans="2:6" x14ac:dyDescent="0.2">
      <c r="B1597" s="9" t="s">
        <v>6391</v>
      </c>
      <c r="C1597" s="15" t="s">
        <v>6391</v>
      </c>
      <c r="D1597" s="12" t="str">
        <f>"0011-2240"</f>
        <v>0011-2240</v>
      </c>
      <c r="E1597" s="5">
        <v>2.4870000000000001</v>
      </c>
      <c r="F1597" s="5">
        <v>0.53800000000000003</v>
      </c>
    </row>
    <row r="1598" spans="2:6" x14ac:dyDescent="0.2">
      <c r="B1598" s="9" t="s">
        <v>6392</v>
      </c>
      <c r="C1598" s="15" t="s">
        <v>6392</v>
      </c>
      <c r="D1598" s="12" t="str">
        <f>"0143-2044"</f>
        <v>0143-2044</v>
      </c>
      <c r="E1598" s="5">
        <v>1.0660000000000001</v>
      </c>
      <c r="F1598" s="5">
        <v>0.20399999999999999</v>
      </c>
    </row>
    <row r="1599" spans="2:6" x14ac:dyDescent="0.2">
      <c r="B1599" s="9" t="s">
        <v>6393</v>
      </c>
      <c r="C1599" s="15" t="s">
        <v>3943</v>
      </c>
      <c r="D1599" s="12" t="str">
        <f>"0181-1584"</f>
        <v>0181-1584</v>
      </c>
      <c r="E1599" s="5">
        <v>2.2309999999999999</v>
      </c>
      <c r="F1599" s="5">
        <v>0.24099999999999999</v>
      </c>
    </row>
    <row r="1600" spans="2:6" x14ac:dyDescent="0.2">
      <c r="B1600" s="9" t="s">
        <v>2247</v>
      </c>
      <c r="C1600" s="15" t="s">
        <v>2247</v>
      </c>
      <c r="D1600" s="12" t="str">
        <f>"0161-1194"</f>
        <v>0161-1194</v>
      </c>
      <c r="E1600" s="5">
        <v>0.93300000000000005</v>
      </c>
      <c r="F1600" s="5">
        <v>0.51400000000000001</v>
      </c>
    </row>
    <row r="1601" spans="2:6" x14ac:dyDescent="0.2">
      <c r="B1601" s="9" t="s">
        <v>6395</v>
      </c>
      <c r="C1601" s="15" t="s">
        <v>6395</v>
      </c>
      <c r="D1601" s="12" t="str">
        <f>"1466-8033"</f>
        <v>1466-8033</v>
      </c>
      <c r="E1601" s="5">
        <v>3.5449999999999999</v>
      </c>
      <c r="F1601" s="5">
        <v>0.8</v>
      </c>
    </row>
    <row r="1602" spans="2:6" x14ac:dyDescent="0.2">
      <c r="B1602" s="9" t="s">
        <v>6394</v>
      </c>
      <c r="C1602" s="15" t="s">
        <v>3944</v>
      </c>
      <c r="D1602" s="12" t="str">
        <f>"1528-7483"</f>
        <v>1528-7483</v>
      </c>
      <c r="E1602" s="5">
        <v>4.0759999999999996</v>
      </c>
      <c r="F1602" s="5">
        <v>0.84</v>
      </c>
    </row>
    <row r="1603" spans="2:6" x14ac:dyDescent="0.2">
      <c r="B1603" s="9" t="s">
        <v>8970</v>
      </c>
      <c r="C1603" s="15" t="s">
        <v>8971</v>
      </c>
      <c r="D1603" s="12" t="str">
        <f>"1943-0264"</f>
        <v>1943-0264</v>
      </c>
      <c r="E1603" s="5">
        <v>10.005000000000001</v>
      </c>
      <c r="F1603" s="5">
        <v>0.85</v>
      </c>
    </row>
    <row r="1604" spans="2:6" x14ac:dyDescent="0.2">
      <c r="B1604" s="9" t="s">
        <v>8972</v>
      </c>
      <c r="C1604" s="15" t="s">
        <v>8973</v>
      </c>
      <c r="D1604" s="12" t="str">
        <f>"2157-1422"</f>
        <v>2157-1422</v>
      </c>
      <c r="E1604" s="5">
        <v>6.915</v>
      </c>
      <c r="F1604" s="5">
        <v>0.84299999999999997</v>
      </c>
    </row>
    <row r="1605" spans="2:6" x14ac:dyDescent="0.2">
      <c r="B1605" s="9" t="s">
        <v>2248</v>
      </c>
      <c r="C1605" s="15" t="s">
        <v>2249</v>
      </c>
      <c r="D1605" s="12" t="str">
        <f>"1752-8054"</f>
        <v>1752-8054</v>
      </c>
      <c r="E1605" s="5">
        <v>4.6890000000000001</v>
      </c>
      <c r="F1605" s="5">
        <v>0.61399999999999999</v>
      </c>
    </row>
    <row r="1606" spans="2:6" x14ac:dyDescent="0.2">
      <c r="B1606" s="9" t="s">
        <v>2250</v>
      </c>
      <c r="C1606" s="15" t="s">
        <v>2251</v>
      </c>
      <c r="D1606" s="12" t="str">
        <f>"1911-6470"</f>
        <v>1911-6470</v>
      </c>
      <c r="E1606" s="5">
        <v>1.8620000000000001</v>
      </c>
      <c r="F1606" s="5">
        <v>0.247</v>
      </c>
    </row>
    <row r="1607" spans="2:6" x14ac:dyDescent="0.2">
      <c r="B1607" s="9" t="s">
        <v>8974</v>
      </c>
      <c r="C1607" s="15" t="s">
        <v>8975</v>
      </c>
      <c r="D1607" s="12" t="str">
        <f>"1099-9809"</f>
        <v>1099-9809</v>
      </c>
      <c r="E1607" s="5">
        <v>3.2290000000000001</v>
      </c>
      <c r="F1607" s="5">
        <v>0.85</v>
      </c>
    </row>
    <row r="1608" spans="2:6" x14ac:dyDescent="0.2">
      <c r="B1608" s="9" t="s">
        <v>2252</v>
      </c>
      <c r="C1608" s="15" t="s">
        <v>2253</v>
      </c>
      <c r="D1608" s="12" t="str">
        <f>"1369-1058"</f>
        <v>1369-1058</v>
      </c>
      <c r="E1608" s="5">
        <v>2.9689999999999999</v>
      </c>
      <c r="F1608" s="5">
        <v>0.79500000000000004</v>
      </c>
    </row>
    <row r="1609" spans="2:6" x14ac:dyDescent="0.2">
      <c r="B1609" s="9" t="s">
        <v>2254</v>
      </c>
      <c r="C1609" s="15" t="s">
        <v>2255</v>
      </c>
      <c r="D1609" s="12" t="str">
        <f>"0165-005X"</f>
        <v>0165-005X</v>
      </c>
      <c r="E1609" s="5">
        <v>2.1669999999999998</v>
      </c>
      <c r="F1609" s="5">
        <v>0.72699999999999998</v>
      </c>
    </row>
    <row r="1610" spans="2:6" x14ac:dyDescent="0.2">
      <c r="B1610" s="9" t="s">
        <v>2256</v>
      </c>
      <c r="C1610" s="15" t="s">
        <v>2257</v>
      </c>
      <c r="D1610" s="12" t="str">
        <f>"1354-067X"</f>
        <v>1354-067X</v>
      </c>
      <c r="E1610" s="5">
        <v>1.466</v>
      </c>
      <c r="F1610" s="5">
        <v>0.309</v>
      </c>
    </row>
    <row r="1611" spans="2:6" x14ac:dyDescent="0.2">
      <c r="B1611" s="9" t="s">
        <v>2258</v>
      </c>
      <c r="C1611" s="15" t="s">
        <v>2259</v>
      </c>
      <c r="D1611" s="12" t="str">
        <f>"0950-2386"</f>
        <v>0950-2386</v>
      </c>
      <c r="E1611" s="5">
        <v>1.6359999999999999</v>
      </c>
      <c r="F1611" s="5">
        <v>0.8</v>
      </c>
    </row>
    <row r="1612" spans="2:6" x14ac:dyDescent="0.2">
      <c r="B1612" s="9" t="s">
        <v>8976</v>
      </c>
      <c r="C1612" s="15" t="s">
        <v>8977</v>
      </c>
      <c r="D1612" s="12" t="str">
        <f>"0954-8963"</f>
        <v>0954-8963</v>
      </c>
      <c r="E1612" s="5">
        <v>1.6</v>
      </c>
      <c r="F1612" s="5">
        <v>0.77800000000000002</v>
      </c>
    </row>
    <row r="1613" spans="2:6" x14ac:dyDescent="0.2">
      <c r="B1613" s="9" t="s">
        <v>6396</v>
      </c>
      <c r="C1613" s="15" t="s">
        <v>3945</v>
      </c>
      <c r="D1613" s="12" t="str">
        <f>"1529-7322"</f>
        <v>1529-7322</v>
      </c>
      <c r="E1613" s="5">
        <v>4.806</v>
      </c>
      <c r="F1613" s="5">
        <v>0.60699999999999998</v>
      </c>
    </row>
    <row r="1614" spans="2:6" x14ac:dyDescent="0.2">
      <c r="B1614" s="9" t="s">
        <v>2260</v>
      </c>
      <c r="C1614" s="15" t="s">
        <v>2261</v>
      </c>
      <c r="D1614" s="12" t="str">
        <f>"1875-5828"</f>
        <v>1875-5828</v>
      </c>
      <c r="E1614" s="5">
        <v>3.4980000000000002</v>
      </c>
      <c r="F1614" s="5">
        <v>0.56699999999999995</v>
      </c>
    </row>
    <row r="1615" spans="2:6" x14ac:dyDescent="0.2">
      <c r="B1615" s="9" t="s">
        <v>6397</v>
      </c>
      <c r="C1615" s="15" t="s">
        <v>3946</v>
      </c>
      <c r="D1615" s="12" t="str">
        <f>"1573-4110"</f>
        <v>1573-4110</v>
      </c>
      <c r="E1615" s="5">
        <v>1.8919999999999999</v>
      </c>
      <c r="F1615" s="5">
        <v>0.193</v>
      </c>
    </row>
    <row r="1616" spans="2:6" x14ac:dyDescent="0.2">
      <c r="B1616" s="9" t="s">
        <v>8978</v>
      </c>
      <c r="C1616" s="15" t="s">
        <v>8979</v>
      </c>
      <c r="D1616" s="12" t="str">
        <f>"1523-3804"</f>
        <v>1523-3804</v>
      </c>
      <c r="E1616" s="5">
        <v>5.1130000000000004</v>
      </c>
      <c r="F1616" s="5">
        <v>0.78500000000000003</v>
      </c>
    </row>
    <row r="1617" spans="2:6" x14ac:dyDescent="0.2">
      <c r="B1617" s="9" t="s">
        <v>2262</v>
      </c>
      <c r="C1617" s="15" t="s">
        <v>2263</v>
      </c>
      <c r="D1617" s="12" t="str">
        <f>"1574-8936"</f>
        <v>1574-8936</v>
      </c>
      <c r="E1617" s="5">
        <v>3.5430000000000001</v>
      </c>
      <c r="F1617" s="5">
        <v>0.79300000000000004</v>
      </c>
    </row>
    <row r="1618" spans="2:6" x14ac:dyDescent="0.2">
      <c r="B1618" s="9" t="s">
        <v>6398</v>
      </c>
      <c r="C1618" s="15" t="s">
        <v>3947</v>
      </c>
      <c r="D1618" s="12" t="str">
        <f>"0960-9822"</f>
        <v>0960-9822</v>
      </c>
      <c r="E1618" s="5">
        <v>10.834</v>
      </c>
      <c r="F1618" s="5">
        <v>0.97799999999999998</v>
      </c>
    </row>
    <row r="1619" spans="2:6" x14ac:dyDescent="0.2">
      <c r="B1619" s="9" t="s">
        <v>6399</v>
      </c>
      <c r="C1619" s="15" t="s">
        <v>3948</v>
      </c>
      <c r="D1619" s="12" t="str">
        <f>"1568-0096"</f>
        <v>1568-0096</v>
      </c>
      <c r="E1619" s="5">
        <v>3.4279999999999999</v>
      </c>
      <c r="F1619" s="5">
        <v>0.34899999999999998</v>
      </c>
    </row>
    <row r="1620" spans="2:6" x14ac:dyDescent="0.2">
      <c r="B1620" s="9" t="s">
        <v>8980</v>
      </c>
      <c r="C1620" s="15" t="s">
        <v>8981</v>
      </c>
      <c r="D1620" s="12" t="str">
        <f>"1523-3782"</f>
        <v>1523-3782</v>
      </c>
      <c r="E1620" s="5">
        <v>2.931</v>
      </c>
      <c r="F1620" s="5">
        <v>0.46800000000000003</v>
      </c>
    </row>
    <row r="1621" spans="2:6" x14ac:dyDescent="0.2">
      <c r="B1621" s="9" t="s">
        <v>2264</v>
      </c>
      <c r="C1621" s="15" t="s">
        <v>2265</v>
      </c>
      <c r="D1621" s="12" t="str">
        <f>"1573-4099"</f>
        <v>1573-4099</v>
      </c>
      <c r="E1621" s="5">
        <v>1.6060000000000001</v>
      </c>
      <c r="F1621" s="5">
        <v>0.189</v>
      </c>
    </row>
    <row r="1622" spans="2:6" x14ac:dyDescent="0.2">
      <c r="B1622" s="9" t="s">
        <v>8982</v>
      </c>
      <c r="C1622" s="15" t="s">
        <v>8983</v>
      </c>
      <c r="D1622" s="12" t="str">
        <f>"1534-4827"</f>
        <v>1534-4827</v>
      </c>
      <c r="E1622" s="5">
        <v>4.8099999999999996</v>
      </c>
      <c r="F1622" s="5">
        <v>0.69</v>
      </c>
    </row>
    <row r="1623" spans="2:6" x14ac:dyDescent="0.2">
      <c r="B1623" s="9" t="s">
        <v>2266</v>
      </c>
      <c r="C1623" s="15" t="s">
        <v>2267</v>
      </c>
      <c r="D1623" s="12" t="str">
        <f>"0963-7214"</f>
        <v>0963-7214</v>
      </c>
      <c r="E1623" s="5">
        <v>6.8109999999999999</v>
      </c>
      <c r="F1623" s="5">
        <v>0.92800000000000005</v>
      </c>
    </row>
    <row r="1624" spans="2:6" x14ac:dyDescent="0.2">
      <c r="B1624" s="9" t="s">
        <v>8984</v>
      </c>
      <c r="C1624" s="15" t="s">
        <v>8985</v>
      </c>
      <c r="D1624" s="12" t="str">
        <f>"1567-2018"</f>
        <v>1567-2018</v>
      </c>
      <c r="E1624" s="5">
        <v>2.5649999999999999</v>
      </c>
      <c r="F1624" s="5">
        <v>0.309</v>
      </c>
    </row>
    <row r="1625" spans="2:6" x14ac:dyDescent="0.2">
      <c r="B1625" s="9" t="s">
        <v>7876</v>
      </c>
      <c r="C1625" s="15" t="s">
        <v>3949</v>
      </c>
      <c r="D1625" s="12" t="str">
        <f>"1389-2002"</f>
        <v>1389-2002</v>
      </c>
      <c r="E1625" s="5">
        <v>3.7309999999999999</v>
      </c>
      <c r="F1625" s="5">
        <v>0.54900000000000004</v>
      </c>
    </row>
    <row r="1626" spans="2:6" x14ac:dyDescent="0.2">
      <c r="B1626" s="9" t="s">
        <v>7877</v>
      </c>
      <c r="C1626" s="15" t="s">
        <v>3950</v>
      </c>
      <c r="D1626" s="12" t="str">
        <f>"1389-4501"</f>
        <v>1389-4501</v>
      </c>
      <c r="E1626" s="5">
        <v>3.4649999999999999</v>
      </c>
      <c r="F1626" s="5">
        <v>0.502</v>
      </c>
    </row>
    <row r="1627" spans="2:6" x14ac:dyDescent="0.2">
      <c r="B1627" s="9" t="s">
        <v>8986</v>
      </c>
      <c r="C1627" s="15" t="s">
        <v>8987</v>
      </c>
      <c r="D1627" s="12" t="str">
        <f>"2196-5412"</f>
        <v>2196-5412</v>
      </c>
      <c r="E1627" s="5">
        <v>7.1219999999999999</v>
      </c>
      <c r="F1627" s="5">
        <v>0.94499999999999995</v>
      </c>
    </row>
    <row r="1628" spans="2:6" x14ac:dyDescent="0.2">
      <c r="B1628" s="9" t="s">
        <v>8988</v>
      </c>
      <c r="C1628" s="15" t="s">
        <v>8989</v>
      </c>
      <c r="D1628" s="12" t="str">
        <f>"2196-2995"</f>
        <v>2196-2995</v>
      </c>
      <c r="E1628" s="5">
        <v>3.161</v>
      </c>
      <c r="F1628" s="5">
        <v>0.67900000000000005</v>
      </c>
    </row>
    <row r="1629" spans="2:6" x14ac:dyDescent="0.2">
      <c r="B1629" s="9" t="s">
        <v>7878</v>
      </c>
      <c r="C1629" s="15" t="s">
        <v>3951</v>
      </c>
      <c r="D1629" s="12" t="str">
        <f>"0271-3683"</f>
        <v>0271-3683</v>
      </c>
      <c r="E1629" s="5">
        <v>2.4239999999999999</v>
      </c>
      <c r="F1629" s="5">
        <v>0.435</v>
      </c>
    </row>
    <row r="1630" spans="2:6" x14ac:dyDescent="0.2">
      <c r="B1630" s="9" t="s">
        <v>7880</v>
      </c>
      <c r="C1630" s="15" t="s">
        <v>3953</v>
      </c>
      <c r="D1630" s="12" t="str">
        <f>"0172-8083"</f>
        <v>0172-8083</v>
      </c>
      <c r="E1630" s="5">
        <v>3.8860000000000001</v>
      </c>
      <c r="F1630" s="5">
        <v>0.59399999999999997</v>
      </c>
    </row>
    <row r="1631" spans="2:6" x14ac:dyDescent="0.2">
      <c r="B1631" s="9" t="s">
        <v>7879</v>
      </c>
      <c r="C1631" s="15" t="s">
        <v>3952</v>
      </c>
      <c r="D1631" s="12" t="str">
        <f>"1566-5232"</f>
        <v>1566-5232</v>
      </c>
      <c r="E1631" s="5">
        <v>4.391</v>
      </c>
      <c r="F1631" s="5">
        <v>0.69099999999999995</v>
      </c>
    </row>
    <row r="1632" spans="2:6" x14ac:dyDescent="0.2">
      <c r="B1632" s="9" t="s">
        <v>7881</v>
      </c>
      <c r="C1632" s="15" t="s">
        <v>3954</v>
      </c>
      <c r="D1632" s="12" t="str">
        <f>"1389-2029"</f>
        <v>1389-2029</v>
      </c>
      <c r="E1632" s="5">
        <v>2.2360000000000002</v>
      </c>
      <c r="F1632" s="5">
        <v>0.28599999999999998</v>
      </c>
    </row>
    <row r="1633" spans="2:6" x14ac:dyDescent="0.2">
      <c r="B1633" s="9" t="s">
        <v>8990</v>
      </c>
      <c r="C1633" s="15" t="s">
        <v>8991</v>
      </c>
      <c r="D1633" s="12" t="str">
        <f>"1558-8211"</f>
        <v>1558-8211</v>
      </c>
      <c r="E1633" s="5">
        <v>3.952</v>
      </c>
      <c r="F1633" s="5">
        <v>0.63200000000000001</v>
      </c>
    </row>
    <row r="1634" spans="2:6" x14ac:dyDescent="0.2">
      <c r="B1634" s="9" t="s">
        <v>8992</v>
      </c>
      <c r="C1634" s="15" t="s">
        <v>8993</v>
      </c>
      <c r="D1634" s="12" t="str">
        <f>"1548-3568"</f>
        <v>1548-3568</v>
      </c>
      <c r="E1634" s="5">
        <v>5.0709999999999997</v>
      </c>
      <c r="F1634" s="5">
        <v>0.77200000000000002</v>
      </c>
    </row>
    <row r="1635" spans="2:6" x14ac:dyDescent="0.2">
      <c r="B1635" s="9" t="s">
        <v>7882</v>
      </c>
      <c r="C1635" s="15" t="s">
        <v>3955</v>
      </c>
      <c r="D1635" s="12" t="str">
        <f>"1570-162X"</f>
        <v>1570-162X</v>
      </c>
      <c r="E1635" s="5">
        <v>1.581</v>
      </c>
      <c r="F1635" s="5">
        <v>9.8000000000000004E-2</v>
      </c>
    </row>
    <row r="1636" spans="2:6" x14ac:dyDescent="0.2">
      <c r="B1636" s="9" t="s">
        <v>7883</v>
      </c>
      <c r="C1636" s="15" t="s">
        <v>3956</v>
      </c>
      <c r="D1636" s="12" t="str">
        <f>"1522-6417"</f>
        <v>1522-6417</v>
      </c>
      <c r="E1636" s="5">
        <v>5.3689999999999998</v>
      </c>
      <c r="F1636" s="5">
        <v>0.84599999999999997</v>
      </c>
    </row>
    <row r="1637" spans="2:6" x14ac:dyDescent="0.2">
      <c r="B1637" s="9" t="s">
        <v>8994</v>
      </c>
      <c r="C1637" s="15" t="s">
        <v>8995</v>
      </c>
      <c r="D1637" s="12" t="str">
        <f>"1523-3847"</f>
        <v>1523-3847</v>
      </c>
      <c r="E1637" s="5">
        <v>3.7250000000000001</v>
      </c>
      <c r="F1637" s="5">
        <v>0.55400000000000005</v>
      </c>
    </row>
    <row r="1638" spans="2:6" x14ac:dyDescent="0.2">
      <c r="B1638" s="9" t="s">
        <v>7884</v>
      </c>
      <c r="C1638" s="15" t="s">
        <v>3957</v>
      </c>
      <c r="D1638" s="12" t="str">
        <f>"1467-3037"</f>
        <v>1467-3037</v>
      </c>
      <c r="E1638" s="5">
        <v>2.081</v>
      </c>
      <c r="F1638" s="5">
        <v>0.155</v>
      </c>
    </row>
    <row r="1639" spans="2:6" x14ac:dyDescent="0.2">
      <c r="B1639" s="9" t="s">
        <v>7885</v>
      </c>
      <c r="C1639" s="15" t="s">
        <v>3958</v>
      </c>
      <c r="D1639" s="12" t="str">
        <f>"0929-8673"</f>
        <v>0929-8673</v>
      </c>
      <c r="E1639" s="5">
        <v>4.53</v>
      </c>
      <c r="F1639" s="5">
        <v>0.74199999999999999</v>
      </c>
    </row>
    <row r="1640" spans="2:6" x14ac:dyDescent="0.2">
      <c r="B1640" s="9" t="s">
        <v>8996</v>
      </c>
      <c r="C1640" s="15" t="s">
        <v>8997</v>
      </c>
      <c r="D1640" s="12" t="str">
        <f>"1573-4056"</f>
        <v>1573-4056</v>
      </c>
      <c r="E1640" s="5">
        <v>0.85799999999999998</v>
      </c>
      <c r="F1640" s="5">
        <v>4.4999999999999998E-2</v>
      </c>
    </row>
    <row r="1641" spans="2:6" x14ac:dyDescent="0.2">
      <c r="B1641" s="9" t="s">
        <v>7886</v>
      </c>
      <c r="C1641" s="15" t="s">
        <v>3959</v>
      </c>
      <c r="D1641" s="12" t="str">
        <f>"0300-7995"</f>
        <v>0300-7995</v>
      </c>
      <c r="E1641" s="5">
        <v>2.58</v>
      </c>
      <c r="F1641" s="5">
        <v>0.58699999999999997</v>
      </c>
    </row>
    <row r="1642" spans="2:6" x14ac:dyDescent="0.2">
      <c r="B1642" s="9" t="s">
        <v>8998</v>
      </c>
      <c r="C1642" s="15" t="s">
        <v>8999</v>
      </c>
      <c r="D1642" s="12" t="str">
        <f>"2096-5230"</f>
        <v>2096-5230</v>
      </c>
      <c r="E1642" s="5">
        <v>2.1349999999999998</v>
      </c>
      <c r="F1642" s="5">
        <v>0.193</v>
      </c>
    </row>
    <row r="1643" spans="2:6" x14ac:dyDescent="0.2">
      <c r="B1643" s="9" t="s">
        <v>7887</v>
      </c>
      <c r="C1643" s="15" t="s">
        <v>3960</v>
      </c>
      <c r="D1643" s="12" t="str">
        <f>"0343-8651"</f>
        <v>0343-8651</v>
      </c>
      <c r="E1643" s="5">
        <v>2.1880000000000002</v>
      </c>
      <c r="F1643" s="5">
        <v>0.156</v>
      </c>
    </row>
    <row r="1644" spans="2:6" x14ac:dyDescent="0.2">
      <c r="B1644" s="9" t="s">
        <v>7888</v>
      </c>
      <c r="C1644" s="15" t="s">
        <v>3961</v>
      </c>
      <c r="D1644" s="12" t="str">
        <f>"1875-5666"</f>
        <v>1875-5666</v>
      </c>
      <c r="E1644" s="5">
        <v>2.222</v>
      </c>
      <c r="F1644" s="5">
        <v>0.214</v>
      </c>
    </row>
    <row r="1645" spans="2:6" x14ac:dyDescent="0.2">
      <c r="B1645" s="9" t="s">
        <v>9000</v>
      </c>
      <c r="C1645" s="15" t="s">
        <v>9001</v>
      </c>
      <c r="D1645" s="12" t="str">
        <f>"1874-4672"</f>
        <v>1874-4672</v>
      </c>
      <c r="E1645" s="5">
        <v>3.339</v>
      </c>
      <c r="F1645" s="5">
        <v>0.47599999999999998</v>
      </c>
    </row>
    <row r="1646" spans="2:6" x14ac:dyDescent="0.2">
      <c r="B1646" s="9" t="s">
        <v>7889</v>
      </c>
      <c r="C1646" s="15" t="s">
        <v>3962</v>
      </c>
      <c r="D1646" s="12" t="str">
        <f>"1573-4137"</f>
        <v>1573-4137</v>
      </c>
      <c r="E1646" s="5">
        <v>1.8240000000000001</v>
      </c>
      <c r="F1646" s="5">
        <v>0.22800000000000001</v>
      </c>
    </row>
    <row r="1647" spans="2:6" x14ac:dyDescent="0.2">
      <c r="B1647" s="9" t="s">
        <v>2268</v>
      </c>
      <c r="C1647" s="15" t="s">
        <v>2269</v>
      </c>
      <c r="D1647" s="12" t="str">
        <f>"1534-6293"</f>
        <v>1534-6293</v>
      </c>
      <c r="E1647" s="5">
        <v>5.0810000000000004</v>
      </c>
      <c r="F1647" s="5">
        <v>0.77900000000000003</v>
      </c>
    </row>
    <row r="1648" spans="2:6" x14ac:dyDescent="0.2">
      <c r="B1648" s="9" t="s">
        <v>7890</v>
      </c>
      <c r="C1648" s="15" t="s">
        <v>3963</v>
      </c>
      <c r="D1648" s="12" t="str">
        <f>"1570-159X"</f>
        <v>1570-159X</v>
      </c>
      <c r="E1648" s="5">
        <v>7.3630000000000004</v>
      </c>
      <c r="F1648" s="5">
        <v>0.93799999999999994</v>
      </c>
    </row>
    <row r="1649" spans="2:6" x14ac:dyDescent="0.2">
      <c r="B1649" s="9" t="s">
        <v>7891</v>
      </c>
      <c r="C1649" s="15" t="s">
        <v>3964</v>
      </c>
      <c r="D1649" s="12" t="str">
        <f>"1567-2026"</f>
        <v>1567-2026</v>
      </c>
      <c r="E1649" s="5">
        <v>1.99</v>
      </c>
      <c r="F1649" s="5">
        <v>0.216</v>
      </c>
    </row>
    <row r="1650" spans="2:6" x14ac:dyDescent="0.2">
      <c r="B1650" s="9" t="s">
        <v>9002</v>
      </c>
      <c r="C1650" s="15" t="s">
        <v>9003</v>
      </c>
      <c r="D1650" s="12" t="str">
        <f>"2162-4968"</f>
        <v>2162-4968</v>
      </c>
      <c r="E1650" s="5">
        <v>6.9189999999999996</v>
      </c>
      <c r="F1650" s="5">
        <v>0.88600000000000001</v>
      </c>
    </row>
    <row r="1651" spans="2:6" x14ac:dyDescent="0.2">
      <c r="B1651" s="9" t="s">
        <v>9004</v>
      </c>
      <c r="C1651" s="15" t="s">
        <v>9005</v>
      </c>
      <c r="D1651" s="12" t="str">
        <f>"1198-0052"</f>
        <v>1198-0052</v>
      </c>
      <c r="E1651" s="5">
        <v>3.677</v>
      </c>
      <c r="F1651" s="5">
        <v>0.41499999999999998</v>
      </c>
    </row>
    <row r="1652" spans="2:6" x14ac:dyDescent="0.2">
      <c r="B1652" s="9" t="s">
        <v>9006</v>
      </c>
      <c r="C1652" s="15" t="s">
        <v>9007</v>
      </c>
      <c r="D1652" s="12" t="str">
        <f>"1523-3790"</f>
        <v>1523-3790</v>
      </c>
      <c r="E1652" s="5">
        <v>5.0750000000000002</v>
      </c>
      <c r="F1652" s="5">
        <v>0.63500000000000001</v>
      </c>
    </row>
    <row r="1653" spans="2:6" x14ac:dyDescent="0.2">
      <c r="B1653" s="9" t="s">
        <v>2270</v>
      </c>
      <c r="C1653" s="15" t="s">
        <v>2271</v>
      </c>
      <c r="D1653" s="12" t="str">
        <f>"1473-6322"</f>
        <v>1473-6322</v>
      </c>
      <c r="E1653" s="5">
        <v>3.1419999999999999</v>
      </c>
      <c r="F1653" s="5">
        <v>0.39300000000000002</v>
      </c>
    </row>
    <row r="1654" spans="2:6" x14ac:dyDescent="0.2">
      <c r="B1654" s="9" t="s">
        <v>9008</v>
      </c>
      <c r="C1654" s="15" t="s">
        <v>9009</v>
      </c>
      <c r="D1654" s="12" t="str">
        <f>"0952-7907"</f>
        <v>0952-7907</v>
      </c>
      <c r="E1654" s="5">
        <v>2.706</v>
      </c>
      <c r="F1654" s="5">
        <v>0.45500000000000002</v>
      </c>
    </row>
    <row r="1655" spans="2:6" x14ac:dyDescent="0.2">
      <c r="B1655" s="9" t="s">
        <v>9010</v>
      </c>
      <c r="C1655" s="15" t="s">
        <v>9011</v>
      </c>
      <c r="D1655" s="12" t="str">
        <f>"2352-1546"</f>
        <v>2352-1546</v>
      </c>
      <c r="E1655" s="5">
        <v>4.4660000000000002</v>
      </c>
      <c r="F1655" s="5">
        <v>0.92500000000000004</v>
      </c>
    </row>
    <row r="1656" spans="2:6" x14ac:dyDescent="0.2">
      <c r="B1656" s="9" t="s">
        <v>7892</v>
      </c>
      <c r="C1656" s="15" t="s">
        <v>3965</v>
      </c>
      <c r="D1656" s="12" t="str">
        <f>"0958-1669"</f>
        <v>0958-1669</v>
      </c>
      <c r="E1656" s="5">
        <v>9.74</v>
      </c>
      <c r="F1656" s="5">
        <v>0.96099999999999997</v>
      </c>
    </row>
    <row r="1657" spans="2:6" x14ac:dyDescent="0.2">
      <c r="B1657" s="9" t="s">
        <v>7893</v>
      </c>
      <c r="C1657" s="15" t="s">
        <v>3966</v>
      </c>
      <c r="D1657" s="12" t="str">
        <f>"0268-4705"</f>
        <v>0268-4705</v>
      </c>
      <c r="E1657" s="5">
        <v>2.161</v>
      </c>
      <c r="F1657" s="5">
        <v>0.30499999999999999</v>
      </c>
    </row>
    <row r="1658" spans="2:6" x14ac:dyDescent="0.2">
      <c r="B1658" s="9" t="s">
        <v>7894</v>
      </c>
      <c r="C1658" s="15" t="s">
        <v>3967</v>
      </c>
      <c r="D1658" s="12" t="str">
        <f>"0955-0674"</f>
        <v>0955-0674</v>
      </c>
      <c r="E1658" s="5">
        <v>8.3819999999999997</v>
      </c>
      <c r="F1658" s="5">
        <v>0.80300000000000005</v>
      </c>
    </row>
    <row r="1659" spans="2:6" x14ac:dyDescent="0.2">
      <c r="B1659" s="9" t="s">
        <v>7895</v>
      </c>
      <c r="C1659" s="15" t="s">
        <v>3968</v>
      </c>
      <c r="D1659" s="12" t="str">
        <f>"1367-5931"</f>
        <v>1367-5931</v>
      </c>
      <c r="E1659" s="5">
        <v>8.8219999999999992</v>
      </c>
      <c r="F1659" s="5">
        <v>0.93</v>
      </c>
    </row>
    <row r="1660" spans="2:6" x14ac:dyDescent="0.2">
      <c r="B1660" s="9" t="s">
        <v>9012</v>
      </c>
      <c r="C1660" s="15" t="s">
        <v>9013</v>
      </c>
      <c r="D1660" s="12" t="str">
        <f>"2211-3398"</f>
        <v>2211-3398</v>
      </c>
      <c r="E1660" s="5">
        <v>5.1630000000000003</v>
      </c>
      <c r="F1660" s="5">
        <v>0.80400000000000005</v>
      </c>
    </row>
    <row r="1661" spans="2:6" x14ac:dyDescent="0.2">
      <c r="B1661" s="9" t="s">
        <v>7896</v>
      </c>
      <c r="C1661" s="15" t="s">
        <v>3969</v>
      </c>
      <c r="D1661" s="12" t="str">
        <f>"1363-1950"</f>
        <v>1363-1950</v>
      </c>
      <c r="E1661" s="5">
        <v>4.2939999999999996</v>
      </c>
      <c r="F1661" s="5">
        <v>0.64800000000000002</v>
      </c>
    </row>
    <row r="1662" spans="2:6" x14ac:dyDescent="0.2">
      <c r="B1662" s="9" t="s">
        <v>2272</v>
      </c>
      <c r="C1662" s="15" t="s">
        <v>2273</v>
      </c>
      <c r="D1662" s="12" t="str">
        <f>"1070-5295"</f>
        <v>1070-5295</v>
      </c>
      <c r="E1662" s="5">
        <v>3.6869999999999998</v>
      </c>
      <c r="F1662" s="5">
        <v>0.66700000000000004</v>
      </c>
    </row>
    <row r="1663" spans="2:6" x14ac:dyDescent="0.2">
      <c r="B1663" s="9" t="s">
        <v>9014</v>
      </c>
      <c r="C1663" s="15" t="s">
        <v>9015</v>
      </c>
      <c r="D1663" s="12" t="str">
        <f>"1752-296X"</f>
        <v>1752-296X</v>
      </c>
      <c r="E1663" s="5">
        <v>3.2429999999999999</v>
      </c>
      <c r="F1663" s="5">
        <v>0.32400000000000001</v>
      </c>
    </row>
    <row r="1664" spans="2:6" x14ac:dyDescent="0.2">
      <c r="B1664" s="9" t="s">
        <v>7897</v>
      </c>
      <c r="C1664" s="15" t="s">
        <v>3970</v>
      </c>
      <c r="D1664" s="12" t="str">
        <f>"0267-1379"</f>
        <v>0267-1379</v>
      </c>
      <c r="E1664" s="5">
        <v>3.2869999999999999</v>
      </c>
      <c r="F1664" s="5">
        <v>0.33700000000000002</v>
      </c>
    </row>
    <row r="1665" spans="2:6" x14ac:dyDescent="0.2">
      <c r="B1665" s="9" t="s">
        <v>7898</v>
      </c>
      <c r="C1665" s="15" t="s">
        <v>3971</v>
      </c>
      <c r="D1665" s="12" t="str">
        <f>"0959-437X"</f>
        <v>0959-437X</v>
      </c>
      <c r="E1665" s="5">
        <v>5.5780000000000003</v>
      </c>
      <c r="F1665" s="5">
        <v>0.82299999999999995</v>
      </c>
    </row>
    <row r="1666" spans="2:6" x14ac:dyDescent="0.2">
      <c r="B1666" s="9" t="s">
        <v>9016</v>
      </c>
      <c r="C1666" s="15" t="s">
        <v>9017</v>
      </c>
      <c r="D1666" s="12" t="str">
        <f>"2452-2236"</f>
        <v>2452-2236</v>
      </c>
      <c r="E1666" s="5">
        <v>6.4569999999999999</v>
      </c>
      <c r="F1666" s="5">
        <v>0.77</v>
      </c>
    </row>
    <row r="1667" spans="2:6" x14ac:dyDescent="0.2">
      <c r="B1667" s="9" t="s">
        <v>7899</v>
      </c>
      <c r="C1667" s="15" t="s">
        <v>3972</v>
      </c>
      <c r="D1667" s="12" t="str">
        <f>"1065-6251"</f>
        <v>1065-6251</v>
      </c>
      <c r="E1667" s="5">
        <v>3.2839999999999998</v>
      </c>
      <c r="F1667" s="5">
        <v>0.51300000000000001</v>
      </c>
    </row>
    <row r="1668" spans="2:6" x14ac:dyDescent="0.2">
      <c r="B1668" s="9" t="s">
        <v>9018</v>
      </c>
      <c r="C1668" s="15" t="s">
        <v>9019</v>
      </c>
      <c r="D1668" s="12" t="str">
        <f>"1746-630X"</f>
        <v>1746-630X</v>
      </c>
      <c r="E1668" s="5">
        <v>4.2830000000000004</v>
      </c>
      <c r="F1668" s="5">
        <v>0.67400000000000004</v>
      </c>
    </row>
    <row r="1669" spans="2:6" x14ac:dyDescent="0.2">
      <c r="B1669" s="9" t="s">
        <v>7900</v>
      </c>
      <c r="C1669" s="15" t="s">
        <v>3973</v>
      </c>
      <c r="D1669" s="12" t="str">
        <f>"0952-7915"</f>
        <v>0952-7915</v>
      </c>
      <c r="E1669" s="5">
        <v>7.4859999999999998</v>
      </c>
      <c r="F1669" s="5">
        <v>0.85199999999999998</v>
      </c>
    </row>
    <row r="1670" spans="2:6" x14ac:dyDescent="0.2">
      <c r="B1670" s="9" t="s">
        <v>7901</v>
      </c>
      <c r="C1670" s="15" t="s">
        <v>3974</v>
      </c>
      <c r="D1670" s="12" t="str">
        <f>"0951-7375"</f>
        <v>0951-7375</v>
      </c>
      <c r="E1670" s="5">
        <v>4.915</v>
      </c>
      <c r="F1670" s="5">
        <v>0.75</v>
      </c>
    </row>
    <row r="1671" spans="2:6" x14ac:dyDescent="0.2">
      <c r="B1671" s="9" t="s">
        <v>9020</v>
      </c>
      <c r="C1671" s="15" t="s">
        <v>9021</v>
      </c>
      <c r="D1671" s="12" t="str">
        <f>"2214-5745"</f>
        <v>2214-5745</v>
      </c>
      <c r="E1671" s="5">
        <v>5.1859999999999999</v>
      </c>
      <c r="F1671" s="5">
        <v>0.97099999999999997</v>
      </c>
    </row>
    <row r="1672" spans="2:6" x14ac:dyDescent="0.2">
      <c r="B1672" s="9" t="s">
        <v>7902</v>
      </c>
      <c r="C1672" s="15" t="s">
        <v>3975</v>
      </c>
      <c r="D1672" s="12" t="str">
        <f>"0957-9672"</f>
        <v>0957-9672</v>
      </c>
      <c r="E1672" s="5">
        <v>4.7759999999999998</v>
      </c>
      <c r="F1672" s="5">
        <v>0.73799999999999999</v>
      </c>
    </row>
    <row r="1673" spans="2:6" x14ac:dyDescent="0.2">
      <c r="B1673" s="9" t="s">
        <v>7903</v>
      </c>
      <c r="C1673" s="15" t="s">
        <v>3976</v>
      </c>
      <c r="D1673" s="12" t="str">
        <f>"1879-0364"</f>
        <v>1879-0364</v>
      </c>
      <c r="E1673" s="5">
        <v>7.9340000000000002</v>
      </c>
      <c r="F1673" s="5">
        <v>0.90400000000000003</v>
      </c>
    </row>
    <row r="1674" spans="2:6" x14ac:dyDescent="0.2">
      <c r="B1674" s="9" t="s">
        <v>7904</v>
      </c>
      <c r="C1674" s="15" t="s">
        <v>3977</v>
      </c>
      <c r="D1674" s="12" t="str">
        <f>"1062-4821"</f>
        <v>1062-4821</v>
      </c>
      <c r="E1674" s="5">
        <v>2.8940000000000001</v>
      </c>
      <c r="F1674" s="5">
        <v>0.51700000000000002</v>
      </c>
    </row>
    <row r="1675" spans="2:6" x14ac:dyDescent="0.2">
      <c r="B1675" s="9" t="s">
        <v>7905</v>
      </c>
      <c r="C1675" s="15" t="s">
        <v>3978</v>
      </c>
      <c r="D1675" s="12" t="str">
        <f>"0959-4388"</f>
        <v>0959-4388</v>
      </c>
      <c r="E1675" s="5">
        <v>6.6269999999999998</v>
      </c>
      <c r="F1675" s="5">
        <v>0.85</v>
      </c>
    </row>
    <row r="1676" spans="2:6" x14ac:dyDescent="0.2">
      <c r="B1676" s="9" t="s">
        <v>7906</v>
      </c>
      <c r="C1676" s="15" t="s">
        <v>3979</v>
      </c>
      <c r="D1676" s="12" t="str">
        <f>"1350-7540"</f>
        <v>1350-7540</v>
      </c>
      <c r="E1676" s="5">
        <v>5.71</v>
      </c>
      <c r="F1676" s="5">
        <v>0.82199999999999995</v>
      </c>
    </row>
    <row r="1677" spans="2:6" x14ac:dyDescent="0.2">
      <c r="B1677" s="9" t="s">
        <v>7907</v>
      </c>
      <c r="C1677" s="15" t="s">
        <v>3980</v>
      </c>
      <c r="D1677" s="12" t="str">
        <f>"1040-872X"</f>
        <v>1040-872X</v>
      </c>
      <c r="E1677" s="5">
        <v>1.927</v>
      </c>
      <c r="F1677" s="5">
        <v>0.253</v>
      </c>
    </row>
    <row r="1678" spans="2:6" x14ac:dyDescent="0.2">
      <c r="B1678" s="9" t="s">
        <v>7908</v>
      </c>
      <c r="C1678" s="15" t="s">
        <v>3981</v>
      </c>
      <c r="D1678" s="12" t="str">
        <f>"1040-8746"</f>
        <v>1040-8746</v>
      </c>
      <c r="E1678" s="5">
        <v>3.645</v>
      </c>
      <c r="F1678" s="5">
        <v>0.41099999999999998</v>
      </c>
    </row>
    <row r="1679" spans="2:6" x14ac:dyDescent="0.2">
      <c r="B1679" s="9" t="s">
        <v>2274</v>
      </c>
      <c r="C1679" s="15" t="s">
        <v>2275</v>
      </c>
      <c r="D1679" s="12" t="str">
        <f>"1040-8738"</f>
        <v>1040-8738</v>
      </c>
      <c r="E1679" s="5">
        <v>3.7610000000000001</v>
      </c>
      <c r="F1679" s="5">
        <v>0.80600000000000005</v>
      </c>
    </row>
    <row r="1680" spans="2:6" x14ac:dyDescent="0.2">
      <c r="B1680" s="9" t="s">
        <v>2276</v>
      </c>
      <c r="C1680" s="15" t="s">
        <v>2277</v>
      </c>
      <c r="D1680" s="12" t="str">
        <f>"1087-2418"</f>
        <v>1087-2418</v>
      </c>
      <c r="E1680" s="5">
        <v>2.64</v>
      </c>
      <c r="F1680" s="5">
        <v>0.4</v>
      </c>
    </row>
    <row r="1681" spans="2:6" x14ac:dyDescent="0.2">
      <c r="B1681" s="9" t="s">
        <v>9022</v>
      </c>
      <c r="C1681" s="15" t="s">
        <v>9023</v>
      </c>
      <c r="D1681" s="12" t="str">
        <f>"1068-9508"</f>
        <v>1068-9508</v>
      </c>
      <c r="E1681" s="5">
        <v>2.0640000000000001</v>
      </c>
      <c r="F1681" s="5">
        <v>0.47699999999999998</v>
      </c>
    </row>
    <row r="1682" spans="2:6" x14ac:dyDescent="0.2">
      <c r="B1682" s="9" t="s">
        <v>7909</v>
      </c>
      <c r="C1682" s="15" t="s">
        <v>3982</v>
      </c>
      <c r="D1682" s="12" t="str">
        <f>"1040-8703"</f>
        <v>1040-8703</v>
      </c>
      <c r="E1682" s="5">
        <v>2.8559999999999999</v>
      </c>
      <c r="F1682" s="5">
        <v>0.69</v>
      </c>
    </row>
    <row r="1683" spans="2:6" x14ac:dyDescent="0.2">
      <c r="B1683" s="9" t="s">
        <v>7910</v>
      </c>
      <c r="C1683" s="15" t="s">
        <v>3983</v>
      </c>
      <c r="D1683" s="12" t="str">
        <f>"1471-4973"</f>
        <v>1471-4973</v>
      </c>
      <c r="E1683" s="5">
        <v>5.5469999999999997</v>
      </c>
      <c r="F1683" s="5">
        <v>0.82499999999999996</v>
      </c>
    </row>
    <row r="1684" spans="2:6" x14ac:dyDescent="0.2">
      <c r="B1684" s="9" t="s">
        <v>7911</v>
      </c>
      <c r="C1684" s="15" t="s">
        <v>3984</v>
      </c>
      <c r="D1684" s="12" t="str">
        <f>"0951-7367"</f>
        <v>0951-7367</v>
      </c>
      <c r="E1684" s="5">
        <v>4.7409999999999997</v>
      </c>
      <c r="F1684" s="5">
        <v>0.79200000000000004</v>
      </c>
    </row>
    <row r="1685" spans="2:6" x14ac:dyDescent="0.2">
      <c r="B1685" s="9" t="s">
        <v>9024</v>
      </c>
      <c r="C1685" s="15" t="s">
        <v>9025</v>
      </c>
      <c r="D1685" s="12" t="str">
        <f>"2352-250X"</f>
        <v>2352-250X</v>
      </c>
      <c r="E1685" s="5">
        <v>5.7169999999999996</v>
      </c>
      <c r="F1685" s="5">
        <v>0.89900000000000002</v>
      </c>
    </row>
    <row r="1686" spans="2:6" x14ac:dyDescent="0.2">
      <c r="B1686" s="9" t="s">
        <v>7912</v>
      </c>
      <c r="C1686" s="15" t="s">
        <v>3985</v>
      </c>
      <c r="D1686" s="12" t="str">
        <f>"1531-6971"</f>
        <v>1531-6971</v>
      </c>
      <c r="E1686" s="5">
        <v>3.1549999999999998</v>
      </c>
      <c r="F1686" s="5">
        <v>0.5</v>
      </c>
    </row>
    <row r="1687" spans="2:6" x14ac:dyDescent="0.2">
      <c r="B1687" s="9" t="s">
        <v>7913</v>
      </c>
      <c r="C1687" s="15" t="s">
        <v>3986</v>
      </c>
      <c r="D1687" s="12" t="str">
        <f>"1040-8711"</f>
        <v>1040-8711</v>
      </c>
      <c r="E1687" s="5">
        <v>5.0060000000000002</v>
      </c>
      <c r="F1687" s="5">
        <v>0.70599999999999996</v>
      </c>
    </row>
    <row r="1688" spans="2:6" x14ac:dyDescent="0.2">
      <c r="B1688" s="9" t="s">
        <v>7914</v>
      </c>
      <c r="C1688" s="15" t="s">
        <v>3987</v>
      </c>
      <c r="D1688" s="12" t="str">
        <f>"0959-440X"</f>
        <v>0959-440X</v>
      </c>
      <c r="E1688" s="5">
        <v>6.8090000000000002</v>
      </c>
      <c r="F1688" s="5">
        <v>0.81799999999999995</v>
      </c>
    </row>
    <row r="1689" spans="2:6" x14ac:dyDescent="0.2">
      <c r="B1689" s="9" t="s">
        <v>9026</v>
      </c>
      <c r="C1689" s="15" t="s">
        <v>9027</v>
      </c>
      <c r="D1689" s="12" t="str">
        <f>"1751-4266"</f>
        <v>1751-4266</v>
      </c>
      <c r="E1689" s="5">
        <v>2.302</v>
      </c>
      <c r="F1689" s="5">
        <v>0.308</v>
      </c>
    </row>
    <row r="1690" spans="2:6" x14ac:dyDescent="0.2">
      <c r="B1690" s="9" t="s">
        <v>7915</v>
      </c>
      <c r="C1690" s="15" t="s">
        <v>3988</v>
      </c>
      <c r="D1690" s="12" t="str">
        <f>"0963-0643"</f>
        <v>0963-0643</v>
      </c>
      <c r="E1690" s="5">
        <v>2.3090000000000002</v>
      </c>
      <c r="F1690" s="5">
        <v>0.33700000000000002</v>
      </c>
    </row>
    <row r="1691" spans="2:6" x14ac:dyDescent="0.2">
      <c r="B1691" s="9" t="s">
        <v>9028</v>
      </c>
      <c r="C1691" s="15" t="s">
        <v>9029</v>
      </c>
      <c r="D1691" s="12" t="str">
        <f>"1879-6257"</f>
        <v>1879-6257</v>
      </c>
      <c r="E1691" s="5">
        <v>7.09</v>
      </c>
      <c r="F1691" s="5">
        <v>0.88900000000000001</v>
      </c>
    </row>
    <row r="1692" spans="2:6" x14ac:dyDescent="0.2">
      <c r="B1692" s="9" t="s">
        <v>9030</v>
      </c>
      <c r="C1692" s="15" t="s">
        <v>9031</v>
      </c>
      <c r="D1692" s="12" t="str">
        <f>"2508-7266"</f>
        <v>2508-7266</v>
      </c>
      <c r="E1692" s="5">
        <v>0.66</v>
      </c>
      <c r="F1692" s="5">
        <v>9.0999999999999998E-2</v>
      </c>
    </row>
    <row r="1693" spans="2:6" x14ac:dyDescent="0.2">
      <c r="B1693" s="9" t="s">
        <v>7916</v>
      </c>
      <c r="C1693" s="15" t="s">
        <v>3989</v>
      </c>
      <c r="D1693" s="12" t="str">
        <f>"1385-2728"</f>
        <v>1385-2728</v>
      </c>
      <c r="E1693" s="5">
        <v>2.1800000000000002</v>
      </c>
      <c r="F1693" s="5">
        <v>0.42099999999999999</v>
      </c>
    </row>
    <row r="1694" spans="2:6" x14ac:dyDescent="0.2">
      <c r="B1694" s="9" t="s">
        <v>7917</v>
      </c>
      <c r="C1694" s="15" t="s">
        <v>3990</v>
      </c>
      <c r="D1694" s="12" t="str">
        <f>"1570-1794"</f>
        <v>1570-1794</v>
      </c>
      <c r="E1694" s="5">
        <v>1.9750000000000001</v>
      </c>
      <c r="F1694" s="5">
        <v>0.35099999999999998</v>
      </c>
    </row>
    <row r="1695" spans="2:6" x14ac:dyDescent="0.2">
      <c r="B1695" s="9" t="s">
        <v>9032</v>
      </c>
      <c r="C1695" s="15" t="s">
        <v>9033</v>
      </c>
      <c r="D1695" s="12" t="str">
        <f>"1544-1873"</f>
        <v>1544-1873</v>
      </c>
      <c r="E1695" s="5">
        <v>5.0960000000000001</v>
      </c>
      <c r="F1695" s="5">
        <v>0.752</v>
      </c>
    </row>
    <row r="1696" spans="2:6" x14ac:dyDescent="0.2">
      <c r="B1696" s="9" t="s">
        <v>9034</v>
      </c>
      <c r="C1696" s="15" t="s">
        <v>9035</v>
      </c>
      <c r="D1696" s="12" t="str">
        <f>"1534-3081"</f>
        <v>1534-3081</v>
      </c>
      <c r="E1696" s="5">
        <v>3.4940000000000002</v>
      </c>
      <c r="F1696" s="5">
        <v>0.56299999999999994</v>
      </c>
    </row>
    <row r="1697" spans="2:6" x14ac:dyDescent="0.2">
      <c r="B1697" s="9" t="s">
        <v>7918</v>
      </c>
      <c r="C1697" s="15" t="s">
        <v>3991</v>
      </c>
      <c r="D1697" s="12" t="str">
        <f>"1573-4129"</f>
        <v>1573-4129</v>
      </c>
      <c r="E1697" s="5">
        <v>0.89</v>
      </c>
      <c r="F1697" s="5">
        <v>5.0999999999999997E-2</v>
      </c>
    </row>
    <row r="1698" spans="2:6" x14ac:dyDescent="0.2">
      <c r="B1698" s="9" t="s">
        <v>7919</v>
      </c>
      <c r="C1698" s="15" t="s">
        <v>3992</v>
      </c>
      <c r="D1698" s="12" t="str">
        <f>"1389-2010"</f>
        <v>1389-2010</v>
      </c>
      <c r="E1698" s="5">
        <v>2.8370000000000002</v>
      </c>
      <c r="F1698" s="5">
        <v>0.371</v>
      </c>
    </row>
    <row r="1699" spans="2:6" x14ac:dyDescent="0.2">
      <c r="B1699" s="9" t="s">
        <v>7920</v>
      </c>
      <c r="C1699" s="15" t="s">
        <v>3993</v>
      </c>
      <c r="D1699" s="12" t="str">
        <f>"1381-6128"</f>
        <v>1381-6128</v>
      </c>
      <c r="E1699" s="5">
        <v>3.1160000000000001</v>
      </c>
      <c r="F1699" s="5">
        <v>0.42499999999999999</v>
      </c>
    </row>
    <row r="1700" spans="2:6" x14ac:dyDescent="0.2">
      <c r="B1700" s="9" t="s">
        <v>9036</v>
      </c>
      <c r="C1700" s="15" t="s">
        <v>9037</v>
      </c>
      <c r="D1700" s="12" t="str">
        <f>"2198-6592"</f>
        <v>2198-6592</v>
      </c>
      <c r="E1700" s="5">
        <v>6.3730000000000002</v>
      </c>
      <c r="F1700" s="5">
        <v>0.93200000000000005</v>
      </c>
    </row>
    <row r="1701" spans="2:6" x14ac:dyDescent="0.2">
      <c r="B1701" s="9" t="s">
        <v>7921</v>
      </c>
      <c r="C1701" s="15" t="s">
        <v>3994</v>
      </c>
      <c r="D1701" s="12" t="str">
        <f>"0147-0272"</f>
        <v>0147-0272</v>
      </c>
      <c r="E1701" s="5">
        <v>3.1869999999999998</v>
      </c>
      <c r="F1701" s="5">
        <v>0.27800000000000002</v>
      </c>
    </row>
    <row r="1702" spans="2:6" x14ac:dyDescent="0.2">
      <c r="B1702" s="9" t="s">
        <v>7922</v>
      </c>
      <c r="C1702" s="15" t="s">
        <v>3995</v>
      </c>
      <c r="D1702" s="12" t="str">
        <f>"0146-2806"</f>
        <v>0146-2806</v>
      </c>
      <c r="E1702" s="5">
        <v>5.2</v>
      </c>
      <c r="F1702" s="5">
        <v>0.70899999999999996</v>
      </c>
    </row>
    <row r="1703" spans="2:6" x14ac:dyDescent="0.2">
      <c r="B1703" s="9" t="s">
        <v>9038</v>
      </c>
      <c r="C1703" s="15" t="s">
        <v>9039</v>
      </c>
      <c r="D1703" s="12" t="str">
        <f>"1538-5442"</f>
        <v>1538-5442</v>
      </c>
      <c r="E1703" s="5">
        <v>2.0630000000000002</v>
      </c>
      <c r="F1703" s="5">
        <v>0.442</v>
      </c>
    </row>
    <row r="1704" spans="2:6" x14ac:dyDescent="0.2">
      <c r="B1704" s="9" t="s">
        <v>7923</v>
      </c>
      <c r="C1704" s="15" t="s">
        <v>3996</v>
      </c>
      <c r="D1704" s="12" t="str">
        <f>"0011-3840"</f>
        <v>0011-3840</v>
      </c>
      <c r="E1704" s="5">
        <v>1.909</v>
      </c>
      <c r="F1704" s="5">
        <v>0.35699999999999998</v>
      </c>
    </row>
    <row r="1705" spans="2:6" x14ac:dyDescent="0.2">
      <c r="B1705" s="9" t="s">
        <v>7924</v>
      </c>
      <c r="C1705" s="15" t="s">
        <v>3997</v>
      </c>
      <c r="D1705" s="12" t="str">
        <f>"1389-2037"</f>
        <v>1389-2037</v>
      </c>
      <c r="E1705" s="5">
        <v>3.2719999999999998</v>
      </c>
      <c r="F1705" s="5">
        <v>0.36499999999999999</v>
      </c>
    </row>
    <row r="1706" spans="2:6" x14ac:dyDescent="0.2">
      <c r="B1706" s="9" t="s">
        <v>9040</v>
      </c>
      <c r="C1706" s="15" t="s">
        <v>9041</v>
      </c>
      <c r="D1706" s="12" t="str">
        <f>"1570-1646"</f>
        <v>1570-1646</v>
      </c>
      <c r="E1706" s="5">
        <v>0.83699999999999997</v>
      </c>
      <c r="F1706" s="5">
        <v>3.4000000000000002E-2</v>
      </c>
    </row>
    <row r="1707" spans="2:6" x14ac:dyDescent="0.2">
      <c r="B1707" s="9" t="s">
        <v>9042</v>
      </c>
      <c r="C1707" s="15" t="s">
        <v>9043</v>
      </c>
      <c r="D1707" s="12" t="str">
        <f>"1535-1645"</f>
        <v>1535-1645</v>
      </c>
      <c r="E1707" s="5">
        <v>5.2850000000000001</v>
      </c>
      <c r="F1707" s="5">
        <v>0.85599999999999998</v>
      </c>
    </row>
    <row r="1708" spans="2:6" x14ac:dyDescent="0.2">
      <c r="B1708" s="9" t="s">
        <v>2278</v>
      </c>
      <c r="C1708" s="15" t="s">
        <v>2279</v>
      </c>
      <c r="D1708" s="12" t="str">
        <f>"1936-4733"</f>
        <v>1936-4733</v>
      </c>
      <c r="E1708" s="5">
        <v>4.2969999999999997</v>
      </c>
      <c r="F1708" s="5">
        <v>0.84899999999999998</v>
      </c>
    </row>
    <row r="1709" spans="2:6" x14ac:dyDescent="0.2">
      <c r="B1709" s="9" t="s">
        <v>9044</v>
      </c>
      <c r="C1709" s="15" t="s">
        <v>9045</v>
      </c>
      <c r="D1709" s="12" t="str">
        <f>"2452-3186"</f>
        <v>2452-3186</v>
      </c>
      <c r="E1709" s="5">
        <v>4.5129999999999999</v>
      </c>
      <c r="F1709" s="5">
        <v>0.57099999999999995</v>
      </c>
    </row>
    <row r="1710" spans="2:6" x14ac:dyDescent="0.2">
      <c r="B1710" s="9" t="s">
        <v>9046</v>
      </c>
      <c r="C1710" s="15" t="s">
        <v>9047</v>
      </c>
      <c r="D1710" s="12" t="str">
        <f>"1523-3774"</f>
        <v>1523-3774</v>
      </c>
      <c r="E1710" s="5">
        <v>4.5919999999999996</v>
      </c>
      <c r="F1710" s="5">
        <v>0.58799999999999997</v>
      </c>
    </row>
    <row r="1711" spans="2:6" x14ac:dyDescent="0.2">
      <c r="B1711" s="9" t="s">
        <v>7925</v>
      </c>
      <c r="C1711" s="15" t="s">
        <v>3998</v>
      </c>
      <c r="D1711" s="12" t="str">
        <f>"0011-3891"</f>
        <v>0011-3891</v>
      </c>
      <c r="E1711" s="5">
        <v>1.1020000000000001</v>
      </c>
      <c r="F1711" s="5">
        <v>0.26400000000000001</v>
      </c>
    </row>
    <row r="1712" spans="2:6" x14ac:dyDescent="0.2">
      <c r="B1712" s="9" t="s">
        <v>9048</v>
      </c>
      <c r="C1712" s="15" t="s">
        <v>9049</v>
      </c>
      <c r="D1712" s="12" t="str">
        <f>"1537-890X"</f>
        <v>1537-890X</v>
      </c>
      <c r="E1712" s="5">
        <v>1.7330000000000001</v>
      </c>
      <c r="F1712" s="5">
        <v>0.216</v>
      </c>
    </row>
    <row r="1713" spans="2:6" x14ac:dyDescent="0.2">
      <c r="B1713" s="9" t="s">
        <v>9050</v>
      </c>
      <c r="C1713" s="15" t="s">
        <v>9051</v>
      </c>
      <c r="D1713" s="12" t="str">
        <f>"1574-888X"</f>
        <v>1574-888X</v>
      </c>
      <c r="E1713" s="5">
        <v>3.8279999999999998</v>
      </c>
      <c r="F1713" s="5">
        <v>0.37</v>
      </c>
    </row>
    <row r="1714" spans="2:6" x14ac:dyDescent="0.2">
      <c r="B1714" s="9" t="s">
        <v>9052</v>
      </c>
      <c r="C1714" s="15" t="s">
        <v>9053</v>
      </c>
      <c r="D1714" s="12" t="str">
        <f>"0070-2153"</f>
        <v>0070-2153</v>
      </c>
      <c r="E1714" s="5">
        <v>4.8970000000000002</v>
      </c>
      <c r="F1714" s="5">
        <v>0.82899999999999996</v>
      </c>
    </row>
    <row r="1715" spans="2:6" x14ac:dyDescent="0.2">
      <c r="B1715" s="9" t="s">
        <v>7926</v>
      </c>
      <c r="C1715" s="15" t="s">
        <v>3999</v>
      </c>
      <c r="D1715" s="12" t="str">
        <f>"1568-0266"</f>
        <v>1568-0266</v>
      </c>
      <c r="E1715" s="5">
        <v>3.2949999999999999</v>
      </c>
      <c r="F1715" s="5">
        <v>0.45200000000000001</v>
      </c>
    </row>
    <row r="1716" spans="2:6" x14ac:dyDescent="0.2">
      <c r="B1716" s="9" t="s">
        <v>7927</v>
      </c>
      <c r="C1716" s="15" t="s">
        <v>9054</v>
      </c>
      <c r="D1716" s="12" t="str">
        <f>"1063-5823"</f>
        <v>1063-5823</v>
      </c>
      <c r="E1716" s="5">
        <v>3.0489999999999999</v>
      </c>
      <c r="F1716" s="5">
        <v>0.53500000000000003</v>
      </c>
    </row>
    <row r="1717" spans="2:6" x14ac:dyDescent="0.2">
      <c r="B1717" s="9" t="s">
        <v>7928</v>
      </c>
      <c r="C1717" s="15" t="s">
        <v>9055</v>
      </c>
      <c r="D1717" s="12" t="str">
        <f>"0070-217X"</f>
        <v>0070-217X</v>
      </c>
      <c r="E1717" s="5">
        <v>4.2910000000000004</v>
      </c>
      <c r="F1717" s="5">
        <v>0.65200000000000002</v>
      </c>
    </row>
    <row r="1718" spans="2:6" x14ac:dyDescent="0.2">
      <c r="B1718" s="9" t="s">
        <v>2280</v>
      </c>
      <c r="C1718" s="15" t="s">
        <v>2281</v>
      </c>
      <c r="D1718" s="12" t="str">
        <f>"1540-7535"</f>
        <v>1540-7535</v>
      </c>
      <c r="E1718" s="5">
        <v>0.41599999999999998</v>
      </c>
      <c r="F1718" s="5">
        <v>2.3E-2</v>
      </c>
    </row>
    <row r="1719" spans="2:6" x14ac:dyDescent="0.2">
      <c r="B1719" s="9" t="s">
        <v>9056</v>
      </c>
      <c r="C1719" s="15" t="s">
        <v>9057</v>
      </c>
      <c r="D1719" s="12" t="str">
        <f>"1092-8480"</f>
        <v>1092-8480</v>
      </c>
      <c r="E1719" s="5">
        <v>3.5979999999999999</v>
      </c>
      <c r="F1719" s="5">
        <v>0.58699999999999997</v>
      </c>
    </row>
    <row r="1720" spans="2:6" x14ac:dyDescent="0.2">
      <c r="B1720" s="9" t="s">
        <v>9058</v>
      </c>
      <c r="C1720" s="15" t="s">
        <v>9059</v>
      </c>
      <c r="D1720" s="12" t="str">
        <f>"1527-2729"</f>
        <v>1527-2729</v>
      </c>
      <c r="E1720" s="5">
        <v>5.0359999999999996</v>
      </c>
      <c r="F1720" s="5">
        <v>0.63100000000000001</v>
      </c>
    </row>
    <row r="1721" spans="2:6" x14ac:dyDescent="0.2">
      <c r="B1721" s="9" t="s">
        <v>9060</v>
      </c>
      <c r="C1721" s="15" t="s">
        <v>9061</v>
      </c>
      <c r="D1721" s="12" t="str">
        <f>"1527-2737"</f>
        <v>1527-2737</v>
      </c>
      <c r="E1721" s="5">
        <v>3.0920000000000001</v>
      </c>
      <c r="F1721" s="5">
        <v>0.55100000000000005</v>
      </c>
    </row>
    <row r="1722" spans="2:6" x14ac:dyDescent="0.2">
      <c r="B1722" s="9" t="s">
        <v>7929</v>
      </c>
      <c r="C1722" s="15" t="s">
        <v>4000</v>
      </c>
      <c r="D1722" s="12" t="str">
        <f>"1570-1611"</f>
        <v>1570-1611</v>
      </c>
      <c r="E1722" s="5">
        <v>2.7189999999999999</v>
      </c>
      <c r="F1722" s="5">
        <v>0.4</v>
      </c>
    </row>
    <row r="1723" spans="2:6" x14ac:dyDescent="0.2">
      <c r="B1723" s="9" t="s">
        <v>7930</v>
      </c>
      <c r="C1723" s="15" t="s">
        <v>4001</v>
      </c>
      <c r="D1723" s="12" t="str">
        <f>"1556-9527"</f>
        <v>1556-9527</v>
      </c>
      <c r="E1723" s="5">
        <v>1.82</v>
      </c>
      <c r="F1723" s="5">
        <v>0.22600000000000001</v>
      </c>
    </row>
    <row r="1724" spans="2:6" x14ac:dyDescent="0.2">
      <c r="B1724" s="9" t="s">
        <v>9062</v>
      </c>
      <c r="C1724" s="15" t="s">
        <v>9063</v>
      </c>
      <c r="D1724" s="12" t="str">
        <f>"2152-2715"</f>
        <v>2152-2715</v>
      </c>
      <c r="E1724" s="5">
        <v>4.157</v>
      </c>
      <c r="F1724" s="5">
        <v>0.81299999999999994</v>
      </c>
    </row>
    <row r="1725" spans="2:6" x14ac:dyDescent="0.2">
      <c r="B1725" s="9" t="s">
        <v>9064</v>
      </c>
      <c r="C1725" s="15" t="s">
        <v>9065</v>
      </c>
      <c r="D1725" s="12" t="str">
        <f>"1802-7962"</f>
        <v>1802-7962</v>
      </c>
      <c r="E1725" s="5">
        <v>2.9049999999999998</v>
      </c>
      <c r="F1725" s="5">
        <v>0.66900000000000004</v>
      </c>
    </row>
    <row r="1726" spans="2:6" x14ac:dyDescent="0.2">
      <c r="B1726" s="9" t="s">
        <v>7931</v>
      </c>
      <c r="C1726" s="15" t="s">
        <v>4002</v>
      </c>
      <c r="D1726" s="12" t="str">
        <f>"1424-8581"</f>
        <v>1424-8581</v>
      </c>
      <c r="E1726" s="5">
        <v>1.6359999999999999</v>
      </c>
      <c r="F1726" s="5">
        <v>0.14299999999999999</v>
      </c>
    </row>
    <row r="1727" spans="2:6" x14ac:dyDescent="0.2">
      <c r="B1727" s="9" t="s">
        <v>9066</v>
      </c>
      <c r="C1727" s="15" t="s">
        <v>9067</v>
      </c>
      <c r="D1727" s="12" t="str">
        <f>"0974-5963"</f>
        <v>0974-5963</v>
      </c>
      <c r="E1727" s="5">
        <v>2.0910000000000002</v>
      </c>
      <c r="F1727" s="5">
        <v>0.36399999999999999</v>
      </c>
    </row>
    <row r="1728" spans="2:6" x14ac:dyDescent="0.2">
      <c r="B1728" s="9" t="s">
        <v>7932</v>
      </c>
      <c r="C1728" s="15" t="s">
        <v>7932</v>
      </c>
      <c r="D1728" s="12" t="str">
        <f>"1043-4666"</f>
        <v>1043-4666</v>
      </c>
      <c r="E1728" s="5">
        <v>3.8610000000000002</v>
      </c>
      <c r="F1728" s="5">
        <v>0.5</v>
      </c>
    </row>
    <row r="1729" spans="2:6" x14ac:dyDescent="0.2">
      <c r="B1729" s="9" t="s">
        <v>7933</v>
      </c>
      <c r="C1729" s="15" t="s">
        <v>4003</v>
      </c>
      <c r="D1729" s="12" t="str">
        <f>"1879-0305"</f>
        <v>1879-0305</v>
      </c>
      <c r="E1729" s="5">
        <v>7.6379999999999999</v>
      </c>
      <c r="F1729" s="5">
        <v>0.85799999999999998</v>
      </c>
    </row>
    <row r="1730" spans="2:6" x14ac:dyDescent="0.2">
      <c r="B1730" s="9" t="s">
        <v>2282</v>
      </c>
      <c r="C1730" s="15" t="s">
        <v>2283</v>
      </c>
      <c r="D1730" s="12" t="str">
        <f>"0095-4527"</f>
        <v>0095-4527</v>
      </c>
      <c r="E1730" s="5">
        <v>0.57899999999999996</v>
      </c>
      <c r="F1730" s="5">
        <v>2.9000000000000001E-2</v>
      </c>
    </row>
    <row r="1731" spans="2:6" x14ac:dyDescent="0.2">
      <c r="B1731" s="9" t="s">
        <v>9068</v>
      </c>
      <c r="C1731" s="15" t="s">
        <v>9068</v>
      </c>
      <c r="D1731" s="12" t="str">
        <f>"0011-4545"</f>
        <v>0011-4545</v>
      </c>
      <c r="E1731" s="5">
        <v>0.79100000000000004</v>
      </c>
      <c r="F1731" s="5">
        <v>5.0999999999999997E-2</v>
      </c>
    </row>
    <row r="1732" spans="2:6" x14ac:dyDescent="0.2">
      <c r="B1732" s="9" t="s">
        <v>7934</v>
      </c>
      <c r="C1732" s="15" t="s">
        <v>4004</v>
      </c>
      <c r="D1732" s="12" t="str">
        <f>"1552-4930"</f>
        <v>1552-4930</v>
      </c>
      <c r="E1732" s="5">
        <v>4.3550000000000004</v>
      </c>
      <c r="F1732" s="5">
        <v>0.77900000000000003</v>
      </c>
    </row>
    <row r="1733" spans="2:6" x14ac:dyDescent="0.2">
      <c r="B1733" s="9" t="s">
        <v>7935</v>
      </c>
      <c r="C1733" s="15" t="s">
        <v>4005</v>
      </c>
      <c r="D1733" s="12" t="str">
        <f>"1552-4949"</f>
        <v>1552-4949</v>
      </c>
      <c r="E1733" s="5">
        <v>3.0579999999999998</v>
      </c>
      <c r="F1733" s="5">
        <v>0.55200000000000005</v>
      </c>
    </row>
    <row r="1734" spans="2:6" x14ac:dyDescent="0.2">
      <c r="B1734" s="9" t="s">
        <v>7936</v>
      </c>
      <c r="C1734" s="15" t="s">
        <v>7936</v>
      </c>
      <c r="D1734" s="12" t="str">
        <f>"0956-5507"</f>
        <v>0956-5507</v>
      </c>
      <c r="E1734" s="5">
        <v>2.073</v>
      </c>
      <c r="F1734" s="5">
        <v>0.32500000000000001</v>
      </c>
    </row>
    <row r="1735" spans="2:6" x14ac:dyDescent="0.2">
      <c r="B1735" s="9" t="s">
        <v>9069</v>
      </c>
      <c r="C1735" s="15" t="s">
        <v>9070</v>
      </c>
      <c r="D1735" s="12" t="str">
        <f>"1949-3584"</f>
        <v>1949-3584</v>
      </c>
      <c r="E1735" s="5">
        <v>2.141</v>
      </c>
      <c r="F1735" s="5">
        <v>0.14000000000000001</v>
      </c>
    </row>
    <row r="1736" spans="2:6" x14ac:dyDescent="0.2">
      <c r="B1736" s="9" t="s">
        <v>7937</v>
      </c>
      <c r="C1736" s="15" t="s">
        <v>7937</v>
      </c>
      <c r="D1736" s="12" t="str">
        <f>"0920-9069"</f>
        <v>0920-9069</v>
      </c>
      <c r="E1736" s="5">
        <v>2.0579999999999998</v>
      </c>
      <c r="F1736" s="5">
        <v>0.19600000000000001</v>
      </c>
    </row>
    <row r="1737" spans="2:6" x14ac:dyDescent="0.2">
      <c r="B1737" s="9" t="s">
        <v>7938</v>
      </c>
      <c r="C1737" s="15" t="s">
        <v>7938</v>
      </c>
      <c r="D1737" s="12" t="str">
        <f>"1465-3249"</f>
        <v>1465-3249</v>
      </c>
      <c r="E1737" s="5">
        <v>5.4139999999999997</v>
      </c>
      <c r="F1737" s="5">
        <v>0.82899999999999996</v>
      </c>
    </row>
    <row r="1738" spans="2:6" x14ac:dyDescent="0.2">
      <c r="B1738" s="9" t="s">
        <v>2284</v>
      </c>
      <c r="C1738" s="15" t="s">
        <v>2285</v>
      </c>
      <c r="D1738" s="12" t="str">
        <f>"0011-5258"</f>
        <v>0011-5258</v>
      </c>
      <c r="E1738" s="5">
        <v>0.35699999999999998</v>
      </c>
      <c r="F1738" s="5">
        <v>5.5E-2</v>
      </c>
    </row>
    <row r="1739" spans="2:6" x14ac:dyDescent="0.2">
      <c r="B1739" s="9" t="s">
        <v>9071</v>
      </c>
      <c r="C1739" s="15" t="s">
        <v>9072</v>
      </c>
      <c r="D1739" s="12" t="str">
        <f>"0011-5266"</f>
        <v>0011-5266</v>
      </c>
      <c r="E1739" s="5">
        <v>1.2430000000000001</v>
      </c>
      <c r="F1739" s="5">
        <v>0.29399999999999998</v>
      </c>
    </row>
    <row r="1740" spans="2:6" x14ac:dyDescent="0.2">
      <c r="B1740" s="9" t="s">
        <v>9073</v>
      </c>
      <c r="C1740" s="15" t="s">
        <v>9074</v>
      </c>
      <c r="D1740" s="12" t="str">
        <f>"2245-1919"</f>
        <v>2245-1919</v>
      </c>
      <c r="E1740" s="5">
        <v>1.24</v>
      </c>
      <c r="F1740" s="5">
        <v>0.251</v>
      </c>
    </row>
    <row r="1741" spans="2:6" x14ac:dyDescent="0.2">
      <c r="B1741" s="9" t="s">
        <v>2286</v>
      </c>
      <c r="C1741" s="15" t="s">
        <v>9075</v>
      </c>
      <c r="D1741" s="12" t="str">
        <f>"2008-2231"</f>
        <v>2008-2231</v>
      </c>
      <c r="E1741" s="5">
        <v>3.117</v>
      </c>
      <c r="F1741" s="5">
        <v>0.42899999999999999</v>
      </c>
    </row>
    <row r="1742" spans="2:6" x14ac:dyDescent="0.2">
      <c r="B1742" s="9" t="s">
        <v>9076</v>
      </c>
      <c r="C1742" s="15" t="s">
        <v>9077</v>
      </c>
      <c r="D1742" s="12" t="str">
        <f>"0095-0033"</f>
        <v>0095-0033</v>
      </c>
      <c r="E1742" s="5">
        <v>1.8280000000000001</v>
      </c>
      <c r="F1742" s="5">
        <v>0.42399999999999999</v>
      </c>
    </row>
    <row r="1743" spans="2:6" x14ac:dyDescent="0.2">
      <c r="B1743" s="9" t="s">
        <v>9078</v>
      </c>
      <c r="C1743" s="15" t="s">
        <v>9079</v>
      </c>
      <c r="D1743" s="12" t="str">
        <f>"2514-9288"</f>
        <v>2514-9288</v>
      </c>
      <c r="E1743" s="5">
        <v>1.667</v>
      </c>
      <c r="F1743" s="5">
        <v>0.4</v>
      </c>
    </row>
    <row r="1744" spans="2:6" x14ac:dyDescent="0.2">
      <c r="B1744" s="9" t="s">
        <v>2287</v>
      </c>
      <c r="C1744" s="15" t="s">
        <v>2288</v>
      </c>
      <c r="D1744" s="12" t="str">
        <f>"0748-1187"</f>
        <v>0748-1187</v>
      </c>
      <c r="E1744" s="5">
        <v>2.2450000000000001</v>
      </c>
      <c r="F1744" s="5">
        <v>0.51100000000000001</v>
      </c>
    </row>
    <row r="1745" spans="2:6" x14ac:dyDescent="0.2">
      <c r="B1745" s="9" t="s">
        <v>7939</v>
      </c>
      <c r="C1745" s="15" t="s">
        <v>4006</v>
      </c>
      <c r="D1745" s="12" t="str">
        <f>"0011-748X"</f>
        <v>0011-748X</v>
      </c>
      <c r="E1745" s="5">
        <v>0.70699999999999996</v>
      </c>
      <c r="F1745" s="5">
        <v>0.153</v>
      </c>
    </row>
    <row r="1746" spans="2:6" x14ac:dyDescent="0.2">
      <c r="B1746" s="9" t="s">
        <v>7940</v>
      </c>
      <c r="C1746" s="15" t="s">
        <v>4007</v>
      </c>
      <c r="D1746" s="12" t="str">
        <f>"1420-8008"</f>
        <v>1420-8008</v>
      </c>
      <c r="E1746" s="5">
        <v>2.9590000000000001</v>
      </c>
      <c r="F1746" s="5">
        <v>0.48599999999999999</v>
      </c>
    </row>
    <row r="1747" spans="2:6" x14ac:dyDescent="0.2">
      <c r="B1747" s="9" t="s">
        <v>2291</v>
      </c>
      <c r="C1747" s="15" t="s">
        <v>2291</v>
      </c>
      <c r="D1747" s="12" t="str">
        <f>"0070-3370"</f>
        <v>0070-3370</v>
      </c>
      <c r="E1747" s="5">
        <v>3.984</v>
      </c>
      <c r="F1747" s="5">
        <v>0.96599999999999997</v>
      </c>
    </row>
    <row r="1748" spans="2:6" x14ac:dyDescent="0.2">
      <c r="B1748" s="9" t="s">
        <v>2289</v>
      </c>
      <c r="C1748" s="15" t="s">
        <v>2290</v>
      </c>
      <c r="D1748" s="12" t="str">
        <f>"1435-9871"</f>
        <v>1435-9871</v>
      </c>
      <c r="E1748" s="5">
        <v>2.0459999999999998</v>
      </c>
      <c r="F1748" s="5">
        <v>0.44800000000000001</v>
      </c>
    </row>
    <row r="1749" spans="2:6" x14ac:dyDescent="0.2">
      <c r="B1749" s="9" t="s">
        <v>7941</v>
      </c>
      <c r="C1749" s="15" t="s">
        <v>4008</v>
      </c>
      <c r="D1749" s="12" t="str">
        <f>"0109-5641"</f>
        <v>0109-5641</v>
      </c>
      <c r="E1749" s="5">
        <v>5.3040000000000003</v>
      </c>
      <c r="F1749" s="5">
        <v>0.92300000000000004</v>
      </c>
    </row>
    <row r="1750" spans="2:6" x14ac:dyDescent="0.2">
      <c r="B1750" s="9" t="s">
        <v>2292</v>
      </c>
      <c r="C1750" s="15" t="s">
        <v>2293</v>
      </c>
      <c r="D1750" s="12" t="str">
        <f>"0287-4547"</f>
        <v>0287-4547</v>
      </c>
      <c r="E1750" s="5">
        <v>2.1019999999999999</v>
      </c>
      <c r="F1750" s="5">
        <v>0.374</v>
      </c>
    </row>
    <row r="1751" spans="2:6" x14ac:dyDescent="0.2">
      <c r="B1751" s="9" t="s">
        <v>7943</v>
      </c>
      <c r="C1751" s="15" t="s">
        <v>4010</v>
      </c>
      <c r="D1751" s="12" t="str">
        <f>"0250-832X"</f>
        <v>0250-832X</v>
      </c>
      <c r="E1751" s="5">
        <v>2.419</v>
      </c>
      <c r="F1751" s="5">
        <v>0.47299999999999998</v>
      </c>
    </row>
    <row r="1752" spans="2:6" x14ac:dyDescent="0.2">
      <c r="B1752" s="9" t="s">
        <v>7942</v>
      </c>
      <c r="C1752" s="15" t="s">
        <v>4009</v>
      </c>
      <c r="D1752" s="12" t="str">
        <f>"1600-4469"</f>
        <v>1600-4469</v>
      </c>
      <c r="E1752" s="5">
        <v>3.3330000000000002</v>
      </c>
      <c r="F1752" s="5">
        <v>0.71399999999999997</v>
      </c>
    </row>
    <row r="1753" spans="2:6" x14ac:dyDescent="0.2">
      <c r="B1753" s="9" t="s">
        <v>7944</v>
      </c>
      <c r="C1753" s="15" t="s">
        <v>4011</v>
      </c>
      <c r="D1753" s="12" t="str">
        <f>"1091-4269"</f>
        <v>1091-4269</v>
      </c>
      <c r="E1753" s="5">
        <v>6.5049999999999999</v>
      </c>
      <c r="F1753" s="5">
        <v>0.93100000000000005</v>
      </c>
    </row>
    <row r="1754" spans="2:6" x14ac:dyDescent="0.2">
      <c r="B1754" s="9" t="s">
        <v>2294</v>
      </c>
      <c r="C1754" s="15" t="s">
        <v>2295</v>
      </c>
      <c r="D1754" s="12" t="str">
        <f>"1710-3568"</f>
        <v>1710-3568</v>
      </c>
      <c r="E1754" s="5">
        <v>4.8449999999999998</v>
      </c>
      <c r="F1754" s="5">
        <v>0.85299999999999998</v>
      </c>
    </row>
    <row r="1755" spans="2:6" x14ac:dyDescent="0.2">
      <c r="B1755" s="9" t="s">
        <v>7945</v>
      </c>
      <c r="C1755" s="15" t="s">
        <v>4012</v>
      </c>
      <c r="D1755" s="12" t="str">
        <f>"0733-8635"</f>
        <v>0733-8635</v>
      </c>
      <c r="E1755" s="5">
        <v>3.4780000000000002</v>
      </c>
      <c r="F1755" s="5">
        <v>0.66200000000000003</v>
      </c>
    </row>
    <row r="1756" spans="2:6" x14ac:dyDescent="0.2">
      <c r="B1756" s="9" t="s">
        <v>7947</v>
      </c>
      <c r="C1756" s="15" t="s">
        <v>7947</v>
      </c>
      <c r="D1756" s="12" t="str">
        <f>"1018-8665"</f>
        <v>1018-8665</v>
      </c>
      <c r="E1756" s="5">
        <v>5.3659999999999997</v>
      </c>
      <c r="F1756" s="5">
        <v>0.88200000000000001</v>
      </c>
    </row>
    <row r="1757" spans="2:6" x14ac:dyDescent="0.2">
      <c r="B1757" s="9" t="s">
        <v>9080</v>
      </c>
      <c r="C1757" s="15" t="s">
        <v>9081</v>
      </c>
      <c r="D1757" s="12" t="str">
        <f>"2193-8210"</f>
        <v>2193-8210</v>
      </c>
      <c r="E1757" s="5">
        <v>3.2639999999999998</v>
      </c>
      <c r="F1757" s="5">
        <v>0.57399999999999995</v>
      </c>
    </row>
    <row r="1758" spans="2:6" x14ac:dyDescent="0.2">
      <c r="B1758" s="9" t="s">
        <v>9082</v>
      </c>
      <c r="C1758" s="15" t="s">
        <v>9083</v>
      </c>
      <c r="D1758" s="12" t="str">
        <f>"2160-9381"</f>
        <v>2160-9381</v>
      </c>
      <c r="E1758" s="5">
        <v>1.9259999999999999</v>
      </c>
      <c r="F1758" s="5">
        <v>0.27900000000000003</v>
      </c>
    </row>
    <row r="1759" spans="2:6" x14ac:dyDescent="0.2">
      <c r="B1759" s="9" t="s">
        <v>9084</v>
      </c>
      <c r="C1759" s="15" t="s">
        <v>9085</v>
      </c>
      <c r="D1759" s="12" t="str">
        <f>"1027-8117"</f>
        <v>1027-8117</v>
      </c>
      <c r="E1759" s="5">
        <v>1.321</v>
      </c>
      <c r="F1759" s="5">
        <v>0.11799999999999999</v>
      </c>
    </row>
    <row r="1760" spans="2:6" x14ac:dyDescent="0.2">
      <c r="B1760" s="9" t="s">
        <v>7946</v>
      </c>
      <c r="C1760" s="15" t="s">
        <v>4013</v>
      </c>
      <c r="D1760" s="12" t="str">
        <f>"1076-0512"</f>
        <v>1076-0512</v>
      </c>
      <c r="E1760" s="5">
        <v>3.3980000000000001</v>
      </c>
      <c r="F1760" s="5">
        <v>0.70499999999999996</v>
      </c>
    </row>
    <row r="1761" spans="2:6" x14ac:dyDescent="0.2">
      <c r="B1761" s="9" t="s">
        <v>2296</v>
      </c>
      <c r="C1761" s="15" t="s">
        <v>2297</v>
      </c>
      <c r="D1761" s="12" t="str">
        <f>"1396-0296"</f>
        <v>1396-0296</v>
      </c>
      <c r="E1761" s="5">
        <v>2.851</v>
      </c>
      <c r="F1761" s="5">
        <v>0.48499999999999999</v>
      </c>
    </row>
    <row r="1762" spans="2:6" x14ac:dyDescent="0.2">
      <c r="B1762" s="9" t="s">
        <v>7948</v>
      </c>
      <c r="C1762" s="15" t="s">
        <v>4014</v>
      </c>
      <c r="D1762" s="12" t="str">
        <f>"0012-0472"</f>
        <v>0012-0472</v>
      </c>
      <c r="E1762" s="5">
        <v>0.628</v>
      </c>
      <c r="F1762" s="5">
        <v>0.10199999999999999</v>
      </c>
    </row>
    <row r="1763" spans="2:6" x14ac:dyDescent="0.2">
      <c r="B1763" s="9" t="s">
        <v>6476</v>
      </c>
      <c r="C1763" s="15" t="s">
        <v>4015</v>
      </c>
      <c r="D1763" s="12" t="str">
        <f>"0012-1606"</f>
        <v>0012-1606</v>
      </c>
      <c r="E1763" s="5">
        <v>3.5819999999999999</v>
      </c>
      <c r="F1763" s="5">
        <v>0.65900000000000003</v>
      </c>
    </row>
    <row r="1764" spans="2:6" x14ac:dyDescent="0.2">
      <c r="B1764" s="9" t="s">
        <v>6477</v>
      </c>
      <c r="C1764" s="15" t="s">
        <v>4016</v>
      </c>
      <c r="D1764" s="12" t="str">
        <f>"1878-1551"</f>
        <v>1878-1551</v>
      </c>
      <c r="E1764" s="5">
        <v>12.27</v>
      </c>
      <c r="F1764" s="5">
        <v>0.97599999999999998</v>
      </c>
    </row>
    <row r="1765" spans="2:6" x14ac:dyDescent="0.2">
      <c r="B1765" s="9" t="s">
        <v>9086</v>
      </c>
      <c r="C1765" s="15" t="s">
        <v>9087</v>
      </c>
      <c r="D1765" s="12" t="str">
        <f>"1878-9293"</f>
        <v>1878-9293</v>
      </c>
      <c r="E1765" s="5">
        <v>6.4640000000000004</v>
      </c>
      <c r="F1765" s="5">
        <v>0.96099999999999997</v>
      </c>
    </row>
    <row r="1766" spans="2:6" x14ac:dyDescent="0.2">
      <c r="B1766" s="9" t="s">
        <v>6478</v>
      </c>
      <c r="C1766" s="15" t="s">
        <v>4017</v>
      </c>
      <c r="D1766" s="12" t="str">
        <f>"0145-305X"</f>
        <v>0145-305X</v>
      </c>
      <c r="E1766" s="5">
        <v>3.6360000000000001</v>
      </c>
      <c r="F1766" s="5">
        <v>0.97099999999999997</v>
      </c>
    </row>
    <row r="1767" spans="2:6" x14ac:dyDescent="0.2">
      <c r="B1767" s="9" t="s">
        <v>6479</v>
      </c>
      <c r="C1767" s="15" t="s">
        <v>4018</v>
      </c>
      <c r="D1767" s="12" t="str">
        <f>"1058-8388"</f>
        <v>1058-8388</v>
      </c>
      <c r="E1767" s="5">
        <v>3.78</v>
      </c>
      <c r="F1767" s="5">
        <v>0.95199999999999996</v>
      </c>
    </row>
    <row r="1768" spans="2:6" x14ac:dyDescent="0.2">
      <c r="B1768" s="9" t="s">
        <v>6486</v>
      </c>
      <c r="C1768" s="15" t="s">
        <v>6486</v>
      </c>
      <c r="D1768" s="12" t="str">
        <f>"1477-9129"</f>
        <v>1477-9129</v>
      </c>
      <c r="E1768" s="5">
        <v>6.8680000000000003</v>
      </c>
      <c r="F1768" s="5">
        <v>0.90200000000000002</v>
      </c>
    </row>
    <row r="1769" spans="2:6" x14ac:dyDescent="0.2">
      <c r="B1769" s="9" t="s">
        <v>2308</v>
      </c>
      <c r="C1769" s="15" t="s">
        <v>2309</v>
      </c>
      <c r="D1769" s="12" t="str">
        <f>"1363-755X"</f>
        <v>1363-755X</v>
      </c>
      <c r="E1769" s="5">
        <v>5.1310000000000002</v>
      </c>
      <c r="F1769" s="5">
        <v>0.93300000000000005</v>
      </c>
    </row>
    <row r="1770" spans="2:6" x14ac:dyDescent="0.2">
      <c r="B1770" s="9" t="s">
        <v>6480</v>
      </c>
      <c r="C1770" s="15" t="s">
        <v>4019</v>
      </c>
      <c r="D1770" s="12" t="str">
        <f>"1432-041X"</f>
        <v>1432-041X</v>
      </c>
      <c r="E1770" s="5">
        <v>0.9</v>
      </c>
      <c r="F1770" s="5">
        <v>0.08</v>
      </c>
    </row>
    <row r="1771" spans="2:6" x14ac:dyDescent="0.2">
      <c r="B1771" s="9" t="s">
        <v>6481</v>
      </c>
      <c r="C1771" s="15" t="s">
        <v>4020</v>
      </c>
      <c r="D1771" s="12" t="str">
        <f>"0012-1592"</f>
        <v>0012-1592</v>
      </c>
      <c r="E1771" s="5">
        <v>2.0529999999999999</v>
      </c>
      <c r="F1771" s="5">
        <v>0.26800000000000002</v>
      </c>
    </row>
    <row r="1772" spans="2:6" x14ac:dyDescent="0.2">
      <c r="B1772" s="9" t="s">
        <v>2310</v>
      </c>
      <c r="C1772" s="15" t="s">
        <v>2311</v>
      </c>
      <c r="D1772" s="12" t="str">
        <f>"0163-9625"</f>
        <v>0163-9625</v>
      </c>
      <c r="E1772" s="5">
        <v>1.982</v>
      </c>
      <c r="F1772" s="5">
        <v>0.51700000000000002</v>
      </c>
    </row>
    <row r="1773" spans="2:6" x14ac:dyDescent="0.2">
      <c r="B1773" s="9" t="s">
        <v>6482</v>
      </c>
      <c r="C1773" s="15" t="s">
        <v>4021</v>
      </c>
      <c r="D1773" s="12" t="str">
        <f>"0012-1622"</f>
        <v>0012-1622</v>
      </c>
      <c r="E1773" s="5">
        <v>5.4489999999999998</v>
      </c>
      <c r="F1773" s="5">
        <v>0.95299999999999996</v>
      </c>
    </row>
    <row r="1774" spans="2:6" x14ac:dyDescent="0.2">
      <c r="B1774" s="9" t="s">
        <v>2298</v>
      </c>
      <c r="C1774" s="15" t="s">
        <v>2299</v>
      </c>
      <c r="D1774" s="12" t="str">
        <f>"1932-8451"</f>
        <v>1932-8451</v>
      </c>
      <c r="E1774" s="5">
        <v>3.964</v>
      </c>
      <c r="F1774" s="5">
        <v>0.78</v>
      </c>
    </row>
    <row r="1775" spans="2:6" x14ac:dyDescent="0.2">
      <c r="B1775" s="9" t="s">
        <v>6483</v>
      </c>
      <c r="C1775" s="15" t="s">
        <v>4022</v>
      </c>
      <c r="D1775" s="12" t="str">
        <f>"8756-5641"</f>
        <v>8756-5641</v>
      </c>
      <c r="E1775" s="5">
        <v>2.2530000000000001</v>
      </c>
      <c r="F1775" s="5">
        <v>0.42199999999999999</v>
      </c>
    </row>
    <row r="1776" spans="2:6" x14ac:dyDescent="0.2">
      <c r="B1776" s="9" t="s">
        <v>9088</v>
      </c>
      <c r="C1776" s="15" t="s">
        <v>9089</v>
      </c>
      <c r="D1776" s="12" t="str">
        <f>"1751-8431"</f>
        <v>1751-8431</v>
      </c>
      <c r="E1776" s="5">
        <v>2.3079999999999998</v>
      </c>
      <c r="F1776" s="5">
        <v>0.56299999999999994</v>
      </c>
    </row>
    <row r="1777" spans="2:6" x14ac:dyDescent="0.2">
      <c r="B1777" s="9" t="s">
        <v>6484</v>
      </c>
      <c r="C1777" s="15" t="s">
        <v>4023</v>
      </c>
      <c r="D1777" s="12" t="str">
        <f>"0378-5866"</f>
        <v>0378-5866</v>
      </c>
      <c r="E1777" s="5">
        <v>2.984</v>
      </c>
      <c r="F1777" s="5">
        <v>0.58499999999999996</v>
      </c>
    </row>
    <row r="1778" spans="2:6" x14ac:dyDescent="0.2">
      <c r="B1778" s="9" t="s">
        <v>6485</v>
      </c>
      <c r="C1778" s="15" t="s">
        <v>4024</v>
      </c>
      <c r="D1778" s="12" t="str">
        <f>"1098-2302"</f>
        <v>1098-2302</v>
      </c>
      <c r="E1778" s="5">
        <v>3.0379999999999998</v>
      </c>
      <c r="F1778" s="5">
        <v>0.623</v>
      </c>
    </row>
    <row r="1779" spans="2:6" x14ac:dyDescent="0.2">
      <c r="B1779" s="9" t="s">
        <v>2300</v>
      </c>
      <c r="C1779" s="15" t="s">
        <v>2301</v>
      </c>
      <c r="D1779" s="12" t="str">
        <f>"0012-1649"</f>
        <v>0012-1649</v>
      </c>
      <c r="E1779" s="5">
        <v>3.8450000000000002</v>
      </c>
      <c r="F1779" s="5">
        <v>0.77900000000000003</v>
      </c>
    </row>
    <row r="1780" spans="2:6" x14ac:dyDescent="0.2">
      <c r="B1780" s="9" t="s">
        <v>2302</v>
      </c>
      <c r="C1780" s="15" t="s">
        <v>2303</v>
      </c>
      <c r="D1780" s="12" t="str">
        <f>"0954-5794"</f>
        <v>0954-5794</v>
      </c>
      <c r="E1780" s="5">
        <v>4.1509999999999998</v>
      </c>
      <c r="F1780" s="5">
        <v>0.79200000000000004</v>
      </c>
    </row>
    <row r="1781" spans="2:6" x14ac:dyDescent="0.2">
      <c r="B1781" s="9" t="s">
        <v>2304</v>
      </c>
      <c r="C1781" s="15" t="s">
        <v>2305</v>
      </c>
      <c r="D1781" s="12" t="str">
        <f>"0273-2297"</f>
        <v>0273-2297</v>
      </c>
      <c r="E1781" s="5">
        <v>8.3059999999999992</v>
      </c>
      <c r="F1781" s="5">
        <v>0.97399999999999998</v>
      </c>
    </row>
    <row r="1782" spans="2:6" x14ac:dyDescent="0.2">
      <c r="B1782" s="9" t="s">
        <v>2306</v>
      </c>
      <c r="C1782" s="15" t="s">
        <v>2307</v>
      </c>
      <c r="D1782" s="12" t="str">
        <f>"1471-8731"</f>
        <v>1471-8731</v>
      </c>
      <c r="E1782" s="5">
        <v>2.294</v>
      </c>
      <c r="F1782" s="5">
        <v>0.71399999999999997</v>
      </c>
    </row>
    <row r="1783" spans="2:6" x14ac:dyDescent="0.2">
      <c r="B1783" s="9" t="s">
        <v>6487</v>
      </c>
      <c r="C1783" s="15" t="s">
        <v>6487</v>
      </c>
      <c r="D1783" s="12" t="str">
        <f>"0012-1797"</f>
        <v>0012-1797</v>
      </c>
      <c r="E1783" s="5">
        <v>9.4610000000000003</v>
      </c>
      <c r="F1783" s="5">
        <v>0.93100000000000005</v>
      </c>
    </row>
    <row r="1784" spans="2:6" x14ac:dyDescent="0.2">
      <c r="B1784" s="9" t="s">
        <v>6488</v>
      </c>
      <c r="C1784" s="15" t="s">
        <v>6488</v>
      </c>
      <c r="D1784" s="12" t="str">
        <f>"0149-5992"</f>
        <v>0149-5992</v>
      </c>
      <c r="E1784" s="5">
        <v>19.111999999999998</v>
      </c>
      <c r="F1784" s="5">
        <v>0.97199999999999998</v>
      </c>
    </row>
    <row r="1785" spans="2:6" x14ac:dyDescent="0.2">
      <c r="B1785" s="9" t="s">
        <v>6489</v>
      </c>
      <c r="C1785" s="15" t="s">
        <v>6489</v>
      </c>
      <c r="D1785" s="12" t="str">
        <f>"0145-7217"</f>
        <v>0145-7217</v>
      </c>
      <c r="E1785" s="5">
        <v>2.14</v>
      </c>
      <c r="F1785" s="5">
        <v>0.38900000000000001</v>
      </c>
    </row>
    <row r="1786" spans="2:6" x14ac:dyDescent="0.2">
      <c r="B1786" s="9" t="s">
        <v>6490</v>
      </c>
      <c r="C1786" s="15" t="s">
        <v>4025</v>
      </c>
      <c r="D1786" s="12" t="str">
        <f>"1262-3636"</f>
        <v>1262-3636</v>
      </c>
      <c r="E1786" s="5">
        <v>6.0410000000000004</v>
      </c>
      <c r="F1786" s="5">
        <v>0.82099999999999995</v>
      </c>
    </row>
    <row r="1787" spans="2:6" x14ac:dyDescent="0.2">
      <c r="B1787" s="9" t="s">
        <v>9090</v>
      </c>
      <c r="C1787" s="15" t="s">
        <v>9091</v>
      </c>
      <c r="D1787" s="12" t="str">
        <f>"2233-6079"</f>
        <v>2233-6079</v>
      </c>
      <c r="E1787" s="5">
        <v>5.3760000000000003</v>
      </c>
      <c r="F1787" s="5">
        <v>0.77900000000000003</v>
      </c>
    </row>
    <row r="1788" spans="2:6" x14ac:dyDescent="0.2">
      <c r="B1788" s="9" t="s">
        <v>6493</v>
      </c>
      <c r="C1788" s="15" t="s">
        <v>4028</v>
      </c>
      <c r="D1788" s="12" t="str">
        <f>"1520-7560"</f>
        <v>1520-7560</v>
      </c>
      <c r="E1788" s="5">
        <v>4.8760000000000003</v>
      </c>
      <c r="F1788" s="5">
        <v>0.70299999999999996</v>
      </c>
    </row>
    <row r="1789" spans="2:6" x14ac:dyDescent="0.2">
      <c r="B1789" s="9" t="s">
        <v>6491</v>
      </c>
      <c r="C1789" s="15" t="s">
        <v>4026</v>
      </c>
      <c r="D1789" s="12" t="str">
        <f>"1462-8902"</f>
        <v>1462-8902</v>
      </c>
      <c r="E1789" s="5">
        <v>6.577</v>
      </c>
      <c r="F1789" s="5">
        <v>0.86199999999999999</v>
      </c>
    </row>
    <row r="1790" spans="2:6" x14ac:dyDescent="0.2">
      <c r="B1790" s="9" t="s">
        <v>6492</v>
      </c>
      <c r="C1790" s="15" t="s">
        <v>4027</v>
      </c>
      <c r="D1790" s="12" t="str">
        <f>"0168-8227"</f>
        <v>0168-8227</v>
      </c>
      <c r="E1790" s="5">
        <v>5.6020000000000003</v>
      </c>
      <c r="F1790" s="5">
        <v>0.79300000000000004</v>
      </c>
    </row>
    <row r="1791" spans="2:6" x14ac:dyDescent="0.2">
      <c r="B1791" s="9" t="s">
        <v>2312</v>
      </c>
      <c r="C1791" s="15" t="s">
        <v>2313</v>
      </c>
      <c r="D1791" s="12" t="str">
        <f>"1861-7603"</f>
        <v>1861-7603</v>
      </c>
      <c r="E1791" s="5">
        <v>0.26200000000000001</v>
      </c>
      <c r="F1791" s="5">
        <v>1.4E-2</v>
      </c>
    </row>
    <row r="1792" spans="2:6" x14ac:dyDescent="0.2">
      <c r="B1792" s="9" t="s">
        <v>2314</v>
      </c>
      <c r="C1792" s="15" t="s">
        <v>2315</v>
      </c>
      <c r="D1792" s="12" t="str">
        <f>"1520-9156"</f>
        <v>1520-9156</v>
      </c>
      <c r="E1792" s="5">
        <v>6.1180000000000003</v>
      </c>
      <c r="F1792" s="5">
        <v>0.83399999999999996</v>
      </c>
    </row>
    <row r="1793" spans="2:6" x14ac:dyDescent="0.2">
      <c r="B1793" s="9" t="s">
        <v>9092</v>
      </c>
      <c r="C1793" s="15" t="s">
        <v>9093</v>
      </c>
      <c r="D1793" s="12" t="str">
        <f>"1869-6953"</f>
        <v>1869-6953</v>
      </c>
      <c r="E1793" s="5">
        <v>2.9449999999999998</v>
      </c>
      <c r="F1793" s="5">
        <v>0.29699999999999999</v>
      </c>
    </row>
    <row r="1794" spans="2:6" x14ac:dyDescent="0.2">
      <c r="B1794" s="9" t="s">
        <v>9094</v>
      </c>
      <c r="C1794" s="15" t="s">
        <v>9095</v>
      </c>
      <c r="D1794" s="12" t="str">
        <f>"1479-1641"</f>
        <v>1479-1641</v>
      </c>
      <c r="E1794" s="5">
        <v>3.2909999999999999</v>
      </c>
      <c r="F1794" s="5">
        <v>0.55400000000000005</v>
      </c>
    </row>
    <row r="1795" spans="2:6" x14ac:dyDescent="0.2">
      <c r="B1795" s="9" t="s">
        <v>6494</v>
      </c>
      <c r="C1795" s="15" t="s">
        <v>4029</v>
      </c>
      <c r="D1795" s="12" t="str">
        <f>"0742-3071"</f>
        <v>0742-3071</v>
      </c>
      <c r="E1795" s="5">
        <v>4.359</v>
      </c>
      <c r="F1795" s="5">
        <v>0.628</v>
      </c>
    </row>
    <row r="1796" spans="2:6" x14ac:dyDescent="0.2">
      <c r="B1796" s="9" t="s">
        <v>9096</v>
      </c>
      <c r="C1796" s="15" t="s">
        <v>9097</v>
      </c>
      <c r="D1796" s="12" t="str">
        <f>"1178-7007"</f>
        <v>1178-7007</v>
      </c>
      <c r="E1796" s="5">
        <v>3.1680000000000001</v>
      </c>
      <c r="F1796" s="5">
        <v>0.31</v>
      </c>
    </row>
    <row r="1797" spans="2:6" x14ac:dyDescent="0.2">
      <c r="B1797" s="9" t="s">
        <v>9098</v>
      </c>
      <c r="C1797" s="15" t="s">
        <v>9099</v>
      </c>
      <c r="D1797" s="12" t="str">
        <f>"1758-5996"</f>
        <v>1758-5996</v>
      </c>
      <c r="E1797" s="5">
        <v>3.32</v>
      </c>
      <c r="F1797" s="5">
        <v>0.35199999999999998</v>
      </c>
    </row>
    <row r="1798" spans="2:6" x14ac:dyDescent="0.2">
      <c r="B1798" s="9" t="s">
        <v>9100</v>
      </c>
      <c r="C1798" s="15" t="s">
        <v>9101</v>
      </c>
      <c r="D1798" s="12" t="str">
        <f>"1860-9724"</f>
        <v>1860-9724</v>
      </c>
      <c r="E1798" s="5">
        <v>0.39800000000000002</v>
      </c>
      <c r="F1798" s="5">
        <v>2.8000000000000001E-2</v>
      </c>
    </row>
    <row r="1799" spans="2:6" x14ac:dyDescent="0.2">
      <c r="B1799" s="9" t="s">
        <v>6495</v>
      </c>
      <c r="C1799" s="15" t="s">
        <v>6495</v>
      </c>
      <c r="D1799" s="12" t="str">
        <f>"0012-186X"</f>
        <v>0012-186X</v>
      </c>
      <c r="E1799" s="5">
        <v>10.122</v>
      </c>
      <c r="F1799" s="5">
        <v>0.94499999999999995</v>
      </c>
    </row>
    <row r="1800" spans="2:6" x14ac:dyDescent="0.2">
      <c r="B1800" s="9" t="s">
        <v>2316</v>
      </c>
      <c r="C1800" s="15" t="s">
        <v>2317</v>
      </c>
      <c r="D1800" s="12" t="str">
        <f>"1861-9002"</f>
        <v>1861-9002</v>
      </c>
      <c r="E1800" s="5">
        <v>1.2669999999999999</v>
      </c>
      <c r="F1800" s="5">
        <v>6.9000000000000006E-2</v>
      </c>
    </row>
    <row r="1801" spans="2:6" x14ac:dyDescent="0.2">
      <c r="B1801" s="9" t="s">
        <v>6496</v>
      </c>
      <c r="C1801" s="15" t="s">
        <v>4030</v>
      </c>
      <c r="D1801" s="12" t="str">
        <f>"1097-0339"</f>
        <v>1097-0339</v>
      </c>
      <c r="E1801" s="5">
        <v>1.5820000000000001</v>
      </c>
      <c r="F1801" s="5">
        <v>0.27600000000000002</v>
      </c>
    </row>
    <row r="1802" spans="2:6" x14ac:dyDescent="0.2">
      <c r="B1802" s="9" t="s">
        <v>9102</v>
      </c>
      <c r="C1802" s="15" t="s">
        <v>9103</v>
      </c>
      <c r="D1802" s="12" t="str">
        <f>"2211-5684"</f>
        <v>2211-5684</v>
      </c>
      <c r="E1802" s="5">
        <v>4.0259999999999998</v>
      </c>
      <c r="F1802" s="5">
        <v>0.74399999999999999</v>
      </c>
    </row>
    <row r="1803" spans="2:6" x14ac:dyDescent="0.2">
      <c r="B1803" s="9" t="s">
        <v>2318</v>
      </c>
      <c r="C1803" s="15" t="s">
        <v>2319</v>
      </c>
      <c r="D1803" s="12" t="str">
        <f>"1305-3612"</f>
        <v>1305-3612</v>
      </c>
      <c r="E1803" s="5">
        <v>2.63</v>
      </c>
      <c r="F1803" s="5">
        <v>0.42899999999999999</v>
      </c>
    </row>
    <row r="1804" spans="2:6" x14ac:dyDescent="0.2">
      <c r="B1804" s="9" t="s">
        <v>6497</v>
      </c>
      <c r="C1804" s="15" t="s">
        <v>4031</v>
      </c>
      <c r="D1804" s="12" t="str">
        <f>"0732-8893"</f>
        <v>0732-8893</v>
      </c>
      <c r="E1804" s="5">
        <v>2.8029999999999999</v>
      </c>
      <c r="F1804" s="5">
        <v>0.34799999999999998</v>
      </c>
    </row>
    <row r="1805" spans="2:6" x14ac:dyDescent="0.2">
      <c r="B1805" s="9" t="s">
        <v>2320</v>
      </c>
      <c r="C1805" s="15" t="s">
        <v>2320</v>
      </c>
      <c r="D1805" s="12" t="str">
        <f>"0012-1924"</f>
        <v>0012-1924</v>
      </c>
      <c r="E1805" s="5">
        <v>0.97599999999999998</v>
      </c>
      <c r="F1805" s="5">
        <v>0.115</v>
      </c>
    </row>
    <row r="1806" spans="2:6" x14ac:dyDescent="0.2">
      <c r="B1806" s="9" t="s">
        <v>9104</v>
      </c>
      <c r="C1806" s="15" t="s">
        <v>9105</v>
      </c>
      <c r="D1806" s="12" t="str">
        <f>"2075-4418"</f>
        <v>2075-4418</v>
      </c>
      <c r="E1806" s="5">
        <v>3.706</v>
      </c>
      <c r="F1806" s="5">
        <v>0.73699999999999999</v>
      </c>
    </row>
    <row r="1807" spans="2:6" x14ac:dyDescent="0.2">
      <c r="B1807" s="9" t="s">
        <v>9106</v>
      </c>
      <c r="C1807" s="15" t="s">
        <v>9107</v>
      </c>
      <c r="D1807" s="12" t="str">
        <f>"1746-1596"</f>
        <v>1746-1596</v>
      </c>
      <c r="E1807" s="5">
        <v>2.6440000000000001</v>
      </c>
      <c r="F1807" s="5">
        <v>0.48099999999999998</v>
      </c>
    </row>
    <row r="1808" spans="2:6" x14ac:dyDescent="0.2">
      <c r="B1808" s="9" t="s">
        <v>9108</v>
      </c>
      <c r="C1808" s="15" t="s">
        <v>9109</v>
      </c>
      <c r="D1808" s="12" t="str">
        <f>"1294-8322"</f>
        <v>1294-8322</v>
      </c>
      <c r="E1808" s="5">
        <v>5.9859999999999998</v>
      </c>
      <c r="F1808" s="5">
        <v>0.80600000000000005</v>
      </c>
    </row>
    <row r="1809" spans="2:6" x14ac:dyDescent="0.2">
      <c r="B1809" s="9" t="s">
        <v>9110</v>
      </c>
      <c r="C1809" s="15" t="s">
        <v>9111</v>
      </c>
      <c r="D1809" s="12" t="str">
        <f>"1040-7391"</f>
        <v>1040-7391</v>
      </c>
      <c r="E1809" s="5">
        <v>0.46500000000000002</v>
      </c>
      <c r="F1809" s="5">
        <v>0.33300000000000002</v>
      </c>
    </row>
    <row r="1810" spans="2:6" x14ac:dyDescent="0.2">
      <c r="B1810" s="9" t="s">
        <v>6498</v>
      </c>
      <c r="C1810" s="15" t="s">
        <v>6498</v>
      </c>
      <c r="D1810" s="12" t="str">
        <f>"0301-4681"</f>
        <v>0301-4681</v>
      </c>
      <c r="E1810" s="5">
        <v>3.88</v>
      </c>
      <c r="F1810" s="5">
        <v>0.73199999999999998</v>
      </c>
    </row>
    <row r="1811" spans="2:6" x14ac:dyDescent="0.2">
      <c r="B1811" s="9" t="s">
        <v>6499</v>
      </c>
      <c r="C1811" s="15" t="s">
        <v>4032</v>
      </c>
      <c r="D1811" s="12" t="str">
        <f>"0257-2753"</f>
        <v>0257-2753</v>
      </c>
      <c r="E1811" s="5">
        <v>2.4039999999999999</v>
      </c>
      <c r="F1811" s="5">
        <v>0.16300000000000001</v>
      </c>
    </row>
    <row r="1812" spans="2:6" x14ac:dyDescent="0.2">
      <c r="B1812" s="9" t="s">
        <v>6500</v>
      </c>
      <c r="C1812" s="15" t="s">
        <v>4033</v>
      </c>
      <c r="D1812" s="12" t="str">
        <f>"0163-2116"</f>
        <v>0163-2116</v>
      </c>
      <c r="E1812" s="5">
        <v>3.1989999999999998</v>
      </c>
      <c r="F1812" s="5">
        <v>0.315</v>
      </c>
    </row>
    <row r="1813" spans="2:6" x14ac:dyDescent="0.2">
      <c r="B1813" s="9" t="s">
        <v>2321</v>
      </c>
      <c r="C1813" s="15" t="s">
        <v>2322</v>
      </c>
      <c r="D1813" s="12" t="str">
        <f>"1443-1661"</f>
        <v>1443-1661</v>
      </c>
      <c r="E1813" s="5">
        <v>7.5590000000000002</v>
      </c>
      <c r="F1813" s="5">
        <v>0.97099999999999997</v>
      </c>
    </row>
    <row r="1814" spans="2:6" x14ac:dyDescent="0.2">
      <c r="B1814" s="9" t="s">
        <v>2323</v>
      </c>
      <c r="C1814" s="15" t="s">
        <v>2323</v>
      </c>
      <c r="D1814" s="12" t="str">
        <f>"0012-2823"</f>
        <v>0012-2823</v>
      </c>
      <c r="E1814" s="5">
        <v>3.2160000000000002</v>
      </c>
      <c r="F1814" s="5">
        <v>0.32600000000000001</v>
      </c>
    </row>
    <row r="1815" spans="2:6" x14ac:dyDescent="0.2">
      <c r="B1815" s="9" t="s">
        <v>6501</v>
      </c>
      <c r="C1815" s="15" t="s">
        <v>4034</v>
      </c>
      <c r="D1815" s="12" t="str">
        <f>"1590-8658"</f>
        <v>1590-8658</v>
      </c>
      <c r="E1815" s="5">
        <v>4.0880000000000001</v>
      </c>
      <c r="F1815" s="5">
        <v>0.54300000000000004</v>
      </c>
    </row>
    <row r="1816" spans="2:6" x14ac:dyDescent="0.2">
      <c r="B1816" s="9" t="s">
        <v>6502</v>
      </c>
      <c r="C1816" s="15" t="s">
        <v>4035</v>
      </c>
      <c r="D1816" s="12" t="str">
        <f>"0253-4886"</f>
        <v>0253-4886</v>
      </c>
      <c r="E1816" s="5">
        <v>2.5880000000000001</v>
      </c>
      <c r="F1816" s="5">
        <v>0.55200000000000005</v>
      </c>
    </row>
    <row r="1817" spans="2:6" x14ac:dyDescent="0.2">
      <c r="B1817" s="9" t="s">
        <v>9112</v>
      </c>
      <c r="C1817" s="15" t="s">
        <v>9113</v>
      </c>
      <c r="D1817" s="12" t="str">
        <f>"2055-2076"</f>
        <v>2055-2076</v>
      </c>
      <c r="E1817" s="5">
        <v>3.4950000000000001</v>
      </c>
      <c r="F1817" s="5">
        <v>0.84099999999999997</v>
      </c>
    </row>
    <row r="1818" spans="2:6" x14ac:dyDescent="0.2">
      <c r="B1818" s="9" t="s">
        <v>2324</v>
      </c>
      <c r="C1818" s="15" t="s">
        <v>2325</v>
      </c>
      <c r="D1818" s="12" t="str">
        <f>"1742-2876"</f>
        <v>1742-2876</v>
      </c>
      <c r="E1818" s="5">
        <v>2.1920000000000002</v>
      </c>
      <c r="F1818" s="5">
        <v>0.36</v>
      </c>
    </row>
    <row r="1819" spans="2:6" x14ac:dyDescent="0.2">
      <c r="B1819" s="9" t="s">
        <v>9114</v>
      </c>
      <c r="C1819" s="15" t="s">
        <v>9115</v>
      </c>
      <c r="D1819" s="12" t="str">
        <f>"1936-6574"</f>
        <v>1936-6574</v>
      </c>
      <c r="E1819" s="5">
        <v>2.5539999999999998</v>
      </c>
      <c r="F1819" s="5">
        <v>0.68899999999999995</v>
      </c>
    </row>
    <row r="1820" spans="2:6" x14ac:dyDescent="0.2">
      <c r="B1820" s="9" t="s">
        <v>6507</v>
      </c>
      <c r="C1820" s="15" t="s">
        <v>4040</v>
      </c>
      <c r="D1820" s="12" t="str">
        <f>"0963-8288"</f>
        <v>0963-8288</v>
      </c>
      <c r="E1820" s="5">
        <v>3.0329999999999999</v>
      </c>
      <c r="F1820" s="5">
        <v>0.83199999999999996</v>
      </c>
    </row>
    <row r="1821" spans="2:6" x14ac:dyDescent="0.2">
      <c r="B1821" s="9" t="s">
        <v>9116</v>
      </c>
      <c r="C1821" s="15" t="s">
        <v>9117</v>
      </c>
      <c r="D1821" s="12" t="str">
        <f>"1748-3107"</f>
        <v>1748-3107</v>
      </c>
      <c r="E1821" s="5">
        <v>2.5</v>
      </c>
      <c r="F1821" s="5">
        <v>0.65500000000000003</v>
      </c>
    </row>
    <row r="1822" spans="2:6" x14ac:dyDescent="0.2">
      <c r="B1822" s="9" t="s">
        <v>2328</v>
      </c>
      <c r="C1822" s="15" t="s">
        <v>2329</v>
      </c>
      <c r="D1822" s="12" t="str">
        <f>"0968-7599"</f>
        <v>0968-7599</v>
      </c>
      <c r="E1822" s="5">
        <v>3.3140000000000001</v>
      </c>
      <c r="F1822" s="5">
        <v>0.874</v>
      </c>
    </row>
    <row r="1823" spans="2:6" x14ac:dyDescent="0.2">
      <c r="B1823" s="9" t="s">
        <v>6503</v>
      </c>
      <c r="C1823" s="15" t="s">
        <v>4036</v>
      </c>
      <c r="D1823" s="12" t="str">
        <f>"0177-5103"</f>
        <v>0177-5103</v>
      </c>
      <c r="E1823" s="5">
        <v>1.802</v>
      </c>
      <c r="F1823" s="5">
        <v>0.65100000000000002</v>
      </c>
    </row>
    <row r="1824" spans="2:6" x14ac:dyDescent="0.2">
      <c r="B1824" s="9" t="s">
        <v>9118</v>
      </c>
      <c r="C1824" s="15" t="s">
        <v>9119</v>
      </c>
      <c r="D1824" s="12" t="str">
        <f>"1935-7893"</f>
        <v>1935-7893</v>
      </c>
      <c r="E1824" s="5">
        <v>1.385</v>
      </c>
      <c r="F1824" s="5">
        <v>0.157</v>
      </c>
    </row>
    <row r="1825" spans="2:6" x14ac:dyDescent="0.2">
      <c r="B1825" s="9" t="s">
        <v>9120</v>
      </c>
      <c r="C1825" s="15" t="s">
        <v>9121</v>
      </c>
      <c r="D1825" s="12" t="str">
        <f>"0965-3562"</f>
        <v>0965-3562</v>
      </c>
      <c r="E1825" s="5">
        <v>1.5209999999999999</v>
      </c>
      <c r="F1825" s="5">
        <v>0.215</v>
      </c>
    </row>
    <row r="1826" spans="2:6" x14ac:dyDescent="0.2">
      <c r="B1826" s="9" t="s">
        <v>9122</v>
      </c>
      <c r="C1826" s="15" t="s">
        <v>9122</v>
      </c>
      <c r="D1826" s="12" t="str">
        <f>"0361-3666"</f>
        <v>0361-3666</v>
      </c>
      <c r="E1826" s="5">
        <v>2.641</v>
      </c>
      <c r="F1826" s="5">
        <v>0.71599999999999997</v>
      </c>
    </row>
    <row r="1827" spans="2:6" x14ac:dyDescent="0.2">
      <c r="B1827" s="9" t="s">
        <v>6504</v>
      </c>
      <c r="C1827" s="15" t="s">
        <v>4037</v>
      </c>
      <c r="D1827" s="12" t="str">
        <f>"0012-3706"</f>
        <v>0012-3706</v>
      </c>
      <c r="E1827" s="5">
        <v>4.585</v>
      </c>
      <c r="F1827" s="5">
        <v>0.85199999999999998</v>
      </c>
    </row>
    <row r="1828" spans="2:6" x14ac:dyDescent="0.2">
      <c r="B1828" s="9" t="s">
        <v>2330</v>
      </c>
      <c r="C1828" s="15" t="s">
        <v>2331</v>
      </c>
      <c r="D1828" s="12" t="str">
        <f>"1532-6950"</f>
        <v>1532-6950</v>
      </c>
      <c r="E1828" s="5">
        <v>1.8180000000000001</v>
      </c>
      <c r="F1828" s="5">
        <v>0.3</v>
      </c>
    </row>
    <row r="1829" spans="2:6" x14ac:dyDescent="0.2">
      <c r="B1829" s="9" t="s">
        <v>2332</v>
      </c>
      <c r="C1829" s="15" t="s">
        <v>2333</v>
      </c>
      <c r="D1829" s="12" t="str">
        <f>"0957-9265"</f>
        <v>0957-9265</v>
      </c>
      <c r="E1829" s="5">
        <v>1.85</v>
      </c>
      <c r="F1829" s="5">
        <v>0.47699999999999998</v>
      </c>
    </row>
    <row r="1830" spans="2:6" x14ac:dyDescent="0.2">
      <c r="B1830" s="9" t="s">
        <v>9123</v>
      </c>
      <c r="C1830" s="15" t="s">
        <v>9124</v>
      </c>
      <c r="D1830" s="12" t="str">
        <f>"1539-6509"</f>
        <v>1539-6509</v>
      </c>
      <c r="E1830" s="5">
        <v>2.97</v>
      </c>
      <c r="F1830" s="5">
        <v>0.371</v>
      </c>
    </row>
    <row r="1831" spans="2:6" x14ac:dyDescent="0.2">
      <c r="B1831" s="9" t="s">
        <v>6508</v>
      </c>
      <c r="C1831" s="15" t="s">
        <v>4041</v>
      </c>
      <c r="D1831" s="12" t="str">
        <f>"1026-0226"</f>
        <v>1026-0226</v>
      </c>
      <c r="E1831" s="5">
        <v>1.3480000000000001</v>
      </c>
      <c r="F1831" s="5">
        <v>0.31900000000000001</v>
      </c>
    </row>
    <row r="1832" spans="2:6" x14ac:dyDescent="0.2">
      <c r="B1832" s="9" t="s">
        <v>6505</v>
      </c>
      <c r="C1832" s="15" t="s">
        <v>4038</v>
      </c>
      <c r="D1832" s="12" t="str">
        <f>"1442-2050"</f>
        <v>1442-2050</v>
      </c>
      <c r="E1832" s="5">
        <v>3.4289999999999998</v>
      </c>
      <c r="F1832" s="5">
        <v>0.37</v>
      </c>
    </row>
    <row r="1833" spans="2:6" x14ac:dyDescent="0.2">
      <c r="B1833" s="9" t="s">
        <v>6506</v>
      </c>
      <c r="C1833" s="15" t="s">
        <v>4039</v>
      </c>
      <c r="D1833" s="12" t="str">
        <f>"1875-8630"</f>
        <v>1875-8630</v>
      </c>
      <c r="E1833" s="5">
        <v>3.4340000000000002</v>
      </c>
      <c r="F1833" s="5">
        <v>0.63600000000000001</v>
      </c>
    </row>
    <row r="1834" spans="2:6" x14ac:dyDescent="0.2">
      <c r="B1834" s="9" t="s">
        <v>2326</v>
      </c>
      <c r="C1834" s="15" t="s">
        <v>2327</v>
      </c>
      <c r="D1834" s="12" t="str">
        <f>"1754-8403"</f>
        <v>1754-8403</v>
      </c>
      <c r="E1834" s="5">
        <v>5.758</v>
      </c>
      <c r="F1834" s="5">
        <v>0.88300000000000001</v>
      </c>
    </row>
    <row r="1835" spans="2:6" x14ac:dyDescent="0.2">
      <c r="B1835" s="9" t="s">
        <v>6509</v>
      </c>
      <c r="C1835" s="15" t="s">
        <v>6509</v>
      </c>
      <c r="D1835" s="12" t="str">
        <f>"0141-9382"</f>
        <v>0141-9382</v>
      </c>
      <c r="E1835" s="5">
        <v>2.1669999999999998</v>
      </c>
      <c r="F1835" s="5">
        <v>0.53100000000000003</v>
      </c>
    </row>
    <row r="1836" spans="2:6" x14ac:dyDescent="0.2">
      <c r="B1836" s="9" t="s">
        <v>2334</v>
      </c>
      <c r="C1836" s="15" t="s">
        <v>2335</v>
      </c>
      <c r="D1836" s="12" t="str">
        <f>"1521-298X"</f>
        <v>1521-298X</v>
      </c>
      <c r="E1836" s="5">
        <v>0.97799999999999998</v>
      </c>
      <c r="F1836" s="5">
        <v>6.5000000000000002E-2</v>
      </c>
    </row>
    <row r="1837" spans="2:6" x14ac:dyDescent="0.2">
      <c r="B1837" s="9" t="s">
        <v>2336</v>
      </c>
      <c r="C1837" s="15" t="s">
        <v>2337</v>
      </c>
      <c r="D1837" s="12" t="str">
        <f>"1833-3516"</f>
        <v>1833-3516</v>
      </c>
      <c r="E1837" s="5">
        <v>0.88700000000000001</v>
      </c>
      <c r="F1837" s="5">
        <v>6.0999999999999999E-2</v>
      </c>
    </row>
    <row r="1838" spans="2:6" x14ac:dyDescent="0.2">
      <c r="B1838" s="9" t="s">
        <v>6510</v>
      </c>
      <c r="C1838" s="15" t="s">
        <v>4042</v>
      </c>
      <c r="D1838" s="12" t="str">
        <f>"0011-5029"</f>
        <v>0011-5029</v>
      </c>
      <c r="E1838" s="5">
        <v>3.8</v>
      </c>
      <c r="F1838" s="5">
        <v>0.754</v>
      </c>
    </row>
    <row r="1839" spans="2:6" x14ac:dyDescent="0.2">
      <c r="B1839" s="9" t="s">
        <v>6511</v>
      </c>
      <c r="C1839" s="15" t="s">
        <v>4043</v>
      </c>
      <c r="D1839" s="12" t="str">
        <f>"1044-5498"</f>
        <v>1044-5498</v>
      </c>
      <c r="E1839" s="5">
        <v>3.3109999999999999</v>
      </c>
      <c r="F1839" s="5">
        <v>0.51400000000000001</v>
      </c>
    </row>
    <row r="1840" spans="2:6" x14ac:dyDescent="0.2">
      <c r="B1840" s="9" t="s">
        <v>6512</v>
      </c>
      <c r="C1840" s="15" t="s">
        <v>6512</v>
      </c>
      <c r="D1840" s="12" t="str">
        <f>"1568-7864"</f>
        <v>1568-7864</v>
      </c>
      <c r="E1840" s="5">
        <v>4.9130000000000003</v>
      </c>
      <c r="F1840" s="5">
        <v>0.81699999999999995</v>
      </c>
    </row>
    <row r="1841" spans="2:6" x14ac:dyDescent="0.2">
      <c r="B1841" s="9" t="s">
        <v>6513</v>
      </c>
      <c r="C1841" s="15" t="s">
        <v>4044</v>
      </c>
      <c r="D1841" s="12" t="str">
        <f>"1340-2838"</f>
        <v>1340-2838</v>
      </c>
      <c r="E1841" s="5">
        <v>4.4580000000000002</v>
      </c>
      <c r="F1841" s="5">
        <v>0.70299999999999996</v>
      </c>
    </row>
    <row r="1842" spans="2:6" x14ac:dyDescent="0.2">
      <c r="B1842" s="9" t="s">
        <v>6514</v>
      </c>
      <c r="C1842" s="15" t="s">
        <v>4045</v>
      </c>
      <c r="D1842" s="12" t="str">
        <f>"0012-4486"</f>
        <v>0012-4486</v>
      </c>
      <c r="E1842" s="5">
        <v>2.379</v>
      </c>
      <c r="F1842" s="5">
        <v>0.41899999999999998</v>
      </c>
    </row>
    <row r="1843" spans="2:6" x14ac:dyDescent="0.2">
      <c r="B1843" s="9" t="s">
        <v>2338</v>
      </c>
      <c r="C1843" s="15" t="s">
        <v>2339</v>
      </c>
      <c r="D1843" s="12" t="str">
        <f>"1607-6729"</f>
        <v>1607-6729</v>
      </c>
      <c r="E1843" s="5">
        <v>0.78800000000000003</v>
      </c>
      <c r="F1843" s="5">
        <v>5.6000000000000001E-2</v>
      </c>
    </row>
    <row r="1844" spans="2:6" x14ac:dyDescent="0.2">
      <c r="B1844" s="9" t="s">
        <v>6515</v>
      </c>
      <c r="C1844" s="15" t="s">
        <v>4046</v>
      </c>
      <c r="D1844" s="12" t="str">
        <f>"0012-5008"</f>
        <v>0012-5008</v>
      </c>
      <c r="E1844" s="5">
        <v>0.63600000000000001</v>
      </c>
      <c r="F1844" s="5">
        <v>7.9000000000000001E-2</v>
      </c>
    </row>
    <row r="1845" spans="2:6" x14ac:dyDescent="0.2">
      <c r="B1845" s="9" t="s">
        <v>6516</v>
      </c>
      <c r="C1845" s="15" t="s">
        <v>4047</v>
      </c>
      <c r="D1845" s="12" t="str">
        <f>"0739-7240"</f>
        <v>0739-7240</v>
      </c>
      <c r="E1845" s="5">
        <v>2.29</v>
      </c>
      <c r="F1845" s="5">
        <v>0.746</v>
      </c>
    </row>
    <row r="1846" spans="2:6" x14ac:dyDescent="0.2">
      <c r="B1846" s="9" t="s">
        <v>9125</v>
      </c>
      <c r="C1846" s="15" t="s">
        <v>9126</v>
      </c>
      <c r="D1846" s="12" t="str">
        <f>"1559-3258"</f>
        <v>1559-3258</v>
      </c>
      <c r="E1846" s="5">
        <v>2.6579999999999999</v>
      </c>
      <c r="F1846" s="5">
        <v>0.436</v>
      </c>
    </row>
    <row r="1847" spans="2:6" x14ac:dyDescent="0.2">
      <c r="B1847" s="9" t="s">
        <v>9127</v>
      </c>
      <c r="C1847" s="15" t="s">
        <v>9127</v>
      </c>
      <c r="D1847" s="12" t="str">
        <f>"1053-0797"</f>
        <v>1053-0797</v>
      </c>
      <c r="E1847" s="5">
        <v>0.76</v>
      </c>
      <c r="F1847" s="5">
        <v>0.10100000000000001</v>
      </c>
    </row>
    <row r="1848" spans="2:6" x14ac:dyDescent="0.2">
      <c r="B1848" s="9" t="s">
        <v>6517</v>
      </c>
      <c r="C1848" s="15" t="s">
        <v>4048</v>
      </c>
      <c r="D1848" s="12" t="str">
        <f>"1170-229X"</f>
        <v>1170-229X</v>
      </c>
      <c r="E1848" s="5">
        <v>3.923</v>
      </c>
      <c r="F1848" s="5">
        <v>0.58899999999999997</v>
      </c>
    </row>
    <row r="1849" spans="2:6" x14ac:dyDescent="0.2">
      <c r="B1849" s="9" t="s">
        <v>6518</v>
      </c>
      <c r="C1849" s="15" t="s">
        <v>4049</v>
      </c>
      <c r="D1849" s="12" t="str">
        <f>"0376-8716"</f>
        <v>0376-8716</v>
      </c>
      <c r="E1849" s="5">
        <v>4.492</v>
      </c>
      <c r="F1849" s="5">
        <v>0.90200000000000002</v>
      </c>
    </row>
    <row r="1850" spans="2:6" x14ac:dyDescent="0.2">
      <c r="B1850" s="9" t="s">
        <v>2340</v>
      </c>
      <c r="C1850" s="15" t="s">
        <v>2341</v>
      </c>
      <c r="D1850" s="12" t="str">
        <f>"0959-5236"</f>
        <v>0959-5236</v>
      </c>
      <c r="E1850" s="5">
        <v>3.343</v>
      </c>
      <c r="F1850" s="5">
        <v>0.58499999999999996</v>
      </c>
    </row>
    <row r="1851" spans="2:6" x14ac:dyDescent="0.2">
      <c r="B1851" s="9" t="s">
        <v>6519</v>
      </c>
      <c r="C1851" s="15" t="s">
        <v>4050</v>
      </c>
      <c r="D1851" s="12" t="str">
        <f>"0148-0545"</f>
        <v>0148-0545</v>
      </c>
      <c r="E1851" s="5">
        <v>3.3559999999999999</v>
      </c>
      <c r="F1851" s="5">
        <v>0.54500000000000004</v>
      </c>
    </row>
    <row r="1852" spans="2:6" x14ac:dyDescent="0.2">
      <c r="B1852" s="9" t="s">
        <v>6520</v>
      </c>
      <c r="C1852" s="15" t="s">
        <v>4051</v>
      </c>
      <c r="D1852" s="12" t="str">
        <f>"1071-7544"</f>
        <v>1071-7544</v>
      </c>
      <c r="E1852" s="5">
        <v>6.4189999999999996</v>
      </c>
      <c r="F1852" s="5">
        <v>0.90500000000000003</v>
      </c>
    </row>
    <row r="1853" spans="2:6" x14ac:dyDescent="0.2">
      <c r="B1853" s="9" t="s">
        <v>9128</v>
      </c>
      <c r="C1853" s="15" t="s">
        <v>9129</v>
      </c>
      <c r="D1853" s="12" t="str">
        <f>"2190-393X"</f>
        <v>2190-393X</v>
      </c>
      <c r="E1853" s="5">
        <v>4.617</v>
      </c>
      <c r="F1853" s="5">
        <v>0.71599999999999997</v>
      </c>
    </row>
    <row r="1854" spans="2:6" x14ac:dyDescent="0.2">
      <c r="B1854" s="9" t="s">
        <v>9130</v>
      </c>
      <c r="C1854" s="15" t="s">
        <v>9131</v>
      </c>
      <c r="D1854" s="12" t="str">
        <f>"1177-8881"</f>
        <v>1177-8881</v>
      </c>
      <c r="E1854" s="5">
        <v>4.1619999999999999</v>
      </c>
      <c r="F1854" s="5">
        <v>0.66100000000000003</v>
      </c>
    </row>
    <row r="1855" spans="2:6" x14ac:dyDescent="0.2">
      <c r="B1855" s="9" t="s">
        <v>6522</v>
      </c>
      <c r="C1855" s="15" t="s">
        <v>4053</v>
      </c>
      <c r="D1855" s="12" t="str">
        <f>"0272-4391"</f>
        <v>0272-4391</v>
      </c>
      <c r="E1855" s="5">
        <v>4.3600000000000003</v>
      </c>
      <c r="F1855" s="5">
        <v>0.71</v>
      </c>
    </row>
    <row r="1856" spans="2:6" x14ac:dyDescent="0.2">
      <c r="B1856" s="9" t="s">
        <v>6521</v>
      </c>
      <c r="C1856" s="15" t="s">
        <v>4052</v>
      </c>
      <c r="D1856" s="12" t="str">
        <f>"0363-9045"</f>
        <v>0363-9045</v>
      </c>
      <c r="E1856" s="5">
        <v>3.2250000000000001</v>
      </c>
      <c r="F1856" s="5">
        <v>0.45800000000000002</v>
      </c>
    </row>
    <row r="1857" spans="2:6" x14ac:dyDescent="0.2">
      <c r="B1857" s="9" t="s">
        <v>6523</v>
      </c>
      <c r="C1857" s="15" t="s">
        <v>4054</v>
      </c>
      <c r="D1857" s="12" t="str">
        <f>"1359-6446"</f>
        <v>1359-6446</v>
      </c>
      <c r="E1857" s="5">
        <v>7.851</v>
      </c>
      <c r="F1857" s="5">
        <v>0.94899999999999995</v>
      </c>
    </row>
    <row r="1858" spans="2:6" x14ac:dyDescent="0.2">
      <c r="B1858" s="9" t="s">
        <v>2345</v>
      </c>
      <c r="C1858" s="15" t="s">
        <v>2346</v>
      </c>
      <c r="D1858" s="12" t="str">
        <f>"0968-7637"</f>
        <v>0968-7637</v>
      </c>
      <c r="E1858" s="5">
        <v>1.71</v>
      </c>
      <c r="F1858" s="5">
        <v>0.24399999999999999</v>
      </c>
    </row>
    <row r="1859" spans="2:6" x14ac:dyDescent="0.2">
      <c r="B1859" s="9" t="s">
        <v>6524</v>
      </c>
      <c r="C1859" s="15" t="s">
        <v>4055</v>
      </c>
      <c r="D1859" s="12" t="str">
        <f>"0377-8282"</f>
        <v>0377-8282</v>
      </c>
      <c r="E1859" s="5">
        <v>0.14799999999999999</v>
      </c>
      <c r="F1859" s="5">
        <v>7.0000000000000001E-3</v>
      </c>
    </row>
    <row r="1860" spans="2:6" x14ac:dyDescent="0.2">
      <c r="B1860" s="9" t="s">
        <v>6525</v>
      </c>
      <c r="C1860" s="15" t="s">
        <v>4056</v>
      </c>
      <c r="D1860" s="12" t="str">
        <f>"0090-9556"</f>
        <v>0090-9556</v>
      </c>
      <c r="E1860" s="5">
        <v>3.9220000000000002</v>
      </c>
      <c r="F1860" s="5">
        <v>0.58499999999999996</v>
      </c>
    </row>
    <row r="1861" spans="2:6" x14ac:dyDescent="0.2">
      <c r="B1861" s="9" t="s">
        <v>2342</v>
      </c>
      <c r="C1861" s="15" t="s">
        <v>2343</v>
      </c>
      <c r="D1861" s="12" t="str">
        <f>"1347-4367"</f>
        <v>1347-4367</v>
      </c>
      <c r="E1861" s="5">
        <v>3.6139999999999999</v>
      </c>
      <c r="F1861" s="5">
        <v>0.53500000000000003</v>
      </c>
    </row>
    <row r="1862" spans="2:6" x14ac:dyDescent="0.2">
      <c r="B1862" s="9" t="s">
        <v>6526</v>
      </c>
      <c r="C1862" s="15" t="s">
        <v>4057</v>
      </c>
      <c r="D1862" s="12" t="str">
        <f>"0360-2532"</f>
        <v>0360-2532</v>
      </c>
      <c r="E1862" s="5">
        <v>4.5179999999999998</v>
      </c>
      <c r="F1862" s="5">
        <v>0.70199999999999996</v>
      </c>
    </row>
    <row r="1863" spans="2:6" x14ac:dyDescent="0.2">
      <c r="B1863" s="9" t="s">
        <v>6527</v>
      </c>
      <c r="C1863" s="15" t="s">
        <v>4058</v>
      </c>
      <c r="D1863" s="12" t="str">
        <f>"1532-2084"</f>
        <v>1532-2084</v>
      </c>
      <c r="E1863" s="5">
        <v>18.5</v>
      </c>
      <c r="F1863" s="5">
        <v>0.99299999999999999</v>
      </c>
    </row>
    <row r="1864" spans="2:6" x14ac:dyDescent="0.2">
      <c r="B1864" s="9" t="s">
        <v>6529</v>
      </c>
      <c r="C1864" s="15" t="s">
        <v>6529</v>
      </c>
      <c r="D1864" s="12" t="str">
        <f>"0012-6667"</f>
        <v>0012-6667</v>
      </c>
      <c r="E1864" s="5">
        <v>9.5459999999999994</v>
      </c>
      <c r="F1864" s="5">
        <v>0.98899999999999999</v>
      </c>
    </row>
    <row r="1865" spans="2:6" x14ac:dyDescent="0.2">
      <c r="B1865" s="9" t="s">
        <v>6528</v>
      </c>
      <c r="C1865" s="15" t="s">
        <v>6528</v>
      </c>
      <c r="D1865" s="12" t="str">
        <f>"1179-1942"</f>
        <v>1179-1942</v>
      </c>
      <c r="E1865" s="5">
        <v>5.6059999999999999</v>
      </c>
      <c r="F1865" s="5">
        <v>0.91100000000000003</v>
      </c>
    </row>
    <row r="1866" spans="2:6" x14ac:dyDescent="0.2">
      <c r="B1866" s="9" t="s">
        <v>2347</v>
      </c>
      <c r="C1866" s="15" t="s">
        <v>2348</v>
      </c>
      <c r="D1866" s="12" t="str">
        <f>"1174-5886"</f>
        <v>1174-5886</v>
      </c>
      <c r="E1866" s="5">
        <v>2.5939999999999999</v>
      </c>
      <c r="F1866" s="5">
        <v>0.32</v>
      </c>
    </row>
    <row r="1867" spans="2:6" x14ac:dyDescent="0.2">
      <c r="B1867" s="9" t="s">
        <v>9132</v>
      </c>
      <c r="C1867" s="15" t="s">
        <v>9133</v>
      </c>
      <c r="D1867" s="12" t="str">
        <f>"1942-7603"</f>
        <v>1942-7603</v>
      </c>
      <c r="E1867" s="5">
        <v>3.3450000000000002</v>
      </c>
      <c r="F1867" s="5">
        <v>0.60199999999999998</v>
      </c>
    </row>
    <row r="1868" spans="2:6" x14ac:dyDescent="0.2">
      <c r="B1868" s="9" t="s">
        <v>2344</v>
      </c>
      <c r="C1868" s="15" t="s">
        <v>4059</v>
      </c>
      <c r="D1868" s="12" t="str">
        <f>"1699-3993"</f>
        <v>1699-3993</v>
      </c>
      <c r="E1868" s="5">
        <v>2.2450000000000001</v>
      </c>
      <c r="F1868" s="5">
        <v>0.24399999999999999</v>
      </c>
    </row>
    <row r="1869" spans="2:6" x14ac:dyDescent="0.2">
      <c r="B1869" s="9" t="s">
        <v>5709</v>
      </c>
      <c r="C1869" s="15" t="s">
        <v>4060</v>
      </c>
      <c r="D1869" s="12" t="str">
        <f>"0737-3937"</f>
        <v>0737-3937</v>
      </c>
      <c r="E1869" s="5">
        <v>4.452</v>
      </c>
      <c r="F1869" s="5">
        <v>0.85699999999999998</v>
      </c>
    </row>
    <row r="1870" spans="2:6" x14ac:dyDescent="0.2">
      <c r="B1870" s="9" t="s">
        <v>9134</v>
      </c>
      <c r="C1870" s="15" t="s">
        <v>9135</v>
      </c>
      <c r="D1870" s="12" t="str">
        <f>"1866-0452"</f>
        <v>1866-0452</v>
      </c>
      <c r="E1870" s="5">
        <v>5.5940000000000003</v>
      </c>
      <c r="F1870" s="5">
        <v>0.88</v>
      </c>
    </row>
    <row r="1871" spans="2:6" x14ac:dyDescent="0.2">
      <c r="B1871" s="9" t="s">
        <v>9136</v>
      </c>
      <c r="C1871" s="15" t="s">
        <v>9137</v>
      </c>
      <c r="D1871" s="12" t="str">
        <f>"0211-9536"</f>
        <v>0211-9536</v>
      </c>
      <c r="E1871" s="5">
        <v>0.42899999999999999</v>
      </c>
      <c r="F1871" s="5">
        <v>0.189</v>
      </c>
    </row>
    <row r="1872" spans="2:6" x14ac:dyDescent="0.2">
      <c r="B1872" s="9" t="s">
        <v>2349</v>
      </c>
      <c r="C1872" s="15" t="s">
        <v>2349</v>
      </c>
      <c r="D1872" s="12" t="str">
        <f>"1076-9242"</f>
        <v>1076-9242</v>
      </c>
      <c r="E1872" s="5">
        <v>1.887</v>
      </c>
      <c r="F1872" s="5">
        <v>0.40899999999999997</v>
      </c>
    </row>
    <row r="1873" spans="2:6" x14ac:dyDescent="0.2">
      <c r="B1873" s="9" t="s">
        <v>5710</v>
      </c>
      <c r="C1873" s="15" t="s">
        <v>5710</v>
      </c>
      <c r="D1873" s="12" t="str">
        <f>"1432-0460"</f>
        <v>1432-0460</v>
      </c>
      <c r="E1873" s="5">
        <v>3.4380000000000002</v>
      </c>
      <c r="F1873" s="5">
        <v>0.88600000000000001</v>
      </c>
    </row>
    <row r="1874" spans="2:6" x14ac:dyDescent="0.2">
      <c r="B1874" s="9" t="s">
        <v>5711</v>
      </c>
      <c r="C1874" s="15" t="s">
        <v>4061</v>
      </c>
      <c r="D1874" s="12" t="str">
        <f>"0196-0202"</f>
        <v>0196-0202</v>
      </c>
      <c r="E1874" s="5">
        <v>3.57</v>
      </c>
      <c r="F1874" s="5">
        <v>1</v>
      </c>
    </row>
    <row r="1875" spans="2:6" x14ac:dyDescent="0.2">
      <c r="B1875" s="9" t="s">
        <v>9138</v>
      </c>
      <c r="C1875" s="15" t="s">
        <v>9139</v>
      </c>
      <c r="D1875" s="12" t="str">
        <f>"0300-4430"</f>
        <v>0300-4430</v>
      </c>
      <c r="E1875" s="5">
        <v>1.43</v>
      </c>
      <c r="F1875" s="5">
        <v>0.20499999999999999</v>
      </c>
    </row>
    <row r="1876" spans="2:6" x14ac:dyDescent="0.2">
      <c r="B1876" s="9" t="s">
        <v>2350</v>
      </c>
      <c r="C1876" s="15" t="s">
        <v>2351</v>
      </c>
      <c r="D1876" s="12" t="str">
        <f>"0885-2006"</f>
        <v>0885-2006</v>
      </c>
      <c r="E1876" s="5">
        <v>3.7189999999999999</v>
      </c>
      <c r="F1876" s="5">
        <v>0.81100000000000005</v>
      </c>
    </row>
    <row r="1877" spans="2:6" x14ac:dyDescent="0.2">
      <c r="B1877" s="9" t="s">
        <v>9140</v>
      </c>
      <c r="C1877" s="15" t="s">
        <v>9141</v>
      </c>
      <c r="D1877" s="12" t="str">
        <f>"1040-9289"</f>
        <v>1040-9289</v>
      </c>
      <c r="E1877" s="5">
        <v>2.1749999999999998</v>
      </c>
      <c r="F1877" s="5">
        <v>0.45800000000000002</v>
      </c>
    </row>
    <row r="1878" spans="2:6" x14ac:dyDescent="0.2">
      <c r="B1878" s="9" t="s">
        <v>5712</v>
      </c>
      <c r="C1878" s="15" t="s">
        <v>4062</v>
      </c>
      <c r="D1878" s="12" t="str">
        <f>"0378-3782"</f>
        <v>0378-3782</v>
      </c>
      <c r="E1878" s="5">
        <v>2.0790000000000002</v>
      </c>
      <c r="F1878" s="5">
        <v>0.45</v>
      </c>
    </row>
    <row r="1879" spans="2:6" x14ac:dyDescent="0.2">
      <c r="B1879" s="9" t="s">
        <v>2352</v>
      </c>
      <c r="C1879" s="15" t="s">
        <v>2353</v>
      </c>
      <c r="D1879" s="12" t="str">
        <f>"1751-7885"</f>
        <v>1751-7885</v>
      </c>
      <c r="E1879" s="5">
        <v>2.7320000000000002</v>
      </c>
      <c r="F1879" s="5">
        <v>0.44</v>
      </c>
    </row>
    <row r="1880" spans="2:6" x14ac:dyDescent="0.2">
      <c r="B1880" s="9" t="s">
        <v>9142</v>
      </c>
      <c r="C1880" s="15" t="s">
        <v>9143</v>
      </c>
      <c r="D1880" s="12" t="str">
        <f>"1383-7427"</f>
        <v>1383-7427</v>
      </c>
      <c r="E1880" s="5">
        <v>0.75600000000000001</v>
      </c>
      <c r="F1880" s="5">
        <v>0.41899999999999998</v>
      </c>
    </row>
    <row r="1881" spans="2:6" x14ac:dyDescent="0.2">
      <c r="B1881" s="9" t="s">
        <v>9144</v>
      </c>
      <c r="C1881" s="15" t="s">
        <v>9145</v>
      </c>
      <c r="D1881" s="12" t="str">
        <f>"0736-623X"</f>
        <v>0736-623X</v>
      </c>
      <c r="E1881" s="5">
        <v>0.23300000000000001</v>
      </c>
      <c r="F1881" s="5">
        <v>5.3999999999999999E-2</v>
      </c>
    </row>
    <row r="1882" spans="2:6" x14ac:dyDescent="0.2">
      <c r="B1882" s="9" t="s">
        <v>9146</v>
      </c>
      <c r="C1882" s="15" t="s">
        <v>9147</v>
      </c>
      <c r="D1882" s="12" t="str">
        <f>"1865-0473"</f>
        <v>1865-0473</v>
      </c>
      <c r="E1882" s="5">
        <v>2.8780000000000001</v>
      </c>
      <c r="F1882" s="5">
        <v>0.55300000000000005</v>
      </c>
    </row>
    <row r="1883" spans="2:6" x14ac:dyDescent="0.2">
      <c r="B1883" s="9" t="s">
        <v>9148</v>
      </c>
      <c r="C1883" s="15" t="s">
        <v>9149</v>
      </c>
      <c r="D1883" s="12" t="str">
        <f>"1875-2160"</f>
        <v>1875-2160</v>
      </c>
      <c r="E1883" s="5">
        <v>1.163</v>
      </c>
      <c r="F1883" s="5">
        <v>0.58099999999999996</v>
      </c>
    </row>
    <row r="1884" spans="2:6" x14ac:dyDescent="0.2">
      <c r="B1884" s="9" t="s">
        <v>9150</v>
      </c>
      <c r="C1884" s="15" t="s">
        <v>9151</v>
      </c>
      <c r="D1884" s="12" t="str">
        <f>"1471-0153"</f>
        <v>1471-0153</v>
      </c>
      <c r="E1884" s="5">
        <v>2.6989999999999998</v>
      </c>
      <c r="F1884" s="5">
        <v>0.44600000000000001</v>
      </c>
    </row>
    <row r="1885" spans="2:6" x14ac:dyDescent="0.2">
      <c r="B1885" s="9" t="s">
        <v>9152</v>
      </c>
      <c r="C1885" s="15" t="s">
        <v>9153</v>
      </c>
      <c r="D1885" s="12" t="str">
        <f>"1064-0266"</f>
        <v>1064-0266</v>
      </c>
      <c r="E1885" s="5">
        <v>3.222</v>
      </c>
      <c r="F1885" s="5">
        <v>0.67500000000000004</v>
      </c>
    </row>
    <row r="1886" spans="2:6" x14ac:dyDescent="0.2">
      <c r="B1886" s="9" t="s">
        <v>2354</v>
      </c>
      <c r="C1886" s="15" t="s">
        <v>2355</v>
      </c>
      <c r="D1886" s="12" t="str">
        <f>"1124-4909"</f>
        <v>1124-4909</v>
      </c>
      <c r="E1886" s="5">
        <v>4.6520000000000001</v>
      </c>
      <c r="F1886" s="5">
        <v>0.78200000000000003</v>
      </c>
    </row>
    <row r="1887" spans="2:6" x14ac:dyDescent="0.2">
      <c r="B1887" s="9" t="s">
        <v>9154</v>
      </c>
      <c r="C1887" s="15" t="s">
        <v>9155</v>
      </c>
      <c r="D1887" s="12" t="str">
        <f>"2352-3964"</f>
        <v>2352-3964</v>
      </c>
      <c r="E1887" s="5">
        <v>8.1430000000000007</v>
      </c>
      <c r="F1887" s="5">
        <v>0.88600000000000001</v>
      </c>
    </row>
    <row r="1888" spans="2:6" ht="25.5" x14ac:dyDescent="0.2">
      <c r="B1888" s="9" t="s">
        <v>5713</v>
      </c>
      <c r="C1888" s="15" t="s">
        <v>9156</v>
      </c>
      <c r="D1888" s="12" t="str">
        <f>"0742-2822"</f>
        <v>0742-2822</v>
      </c>
      <c r="E1888" s="5">
        <v>1.724</v>
      </c>
      <c r="F1888" s="5">
        <v>0.156</v>
      </c>
    </row>
    <row r="1889" spans="2:6" x14ac:dyDescent="0.2">
      <c r="B1889" s="9" t="s">
        <v>5714</v>
      </c>
      <c r="C1889" s="15" t="s">
        <v>4063</v>
      </c>
      <c r="D1889" s="12" t="str">
        <f>"0367-0244"</f>
        <v>0367-0244</v>
      </c>
      <c r="E1889" s="5">
        <v>1.6919999999999999</v>
      </c>
      <c r="F1889" s="5">
        <v>0.17</v>
      </c>
    </row>
    <row r="1890" spans="2:6" x14ac:dyDescent="0.2">
      <c r="B1890" s="9" t="s">
        <v>2356</v>
      </c>
      <c r="C1890" s="15" t="s">
        <v>2357</v>
      </c>
      <c r="D1890" s="12" t="str">
        <f>"1040-7413"</f>
        <v>1040-7413</v>
      </c>
      <c r="E1890" s="5">
        <v>2.7810000000000001</v>
      </c>
      <c r="F1890" s="5">
        <v>0.58899999999999997</v>
      </c>
    </row>
    <row r="1891" spans="2:6" x14ac:dyDescent="0.2">
      <c r="B1891" s="9" t="s">
        <v>2358</v>
      </c>
      <c r="C1891" s="15" t="s">
        <v>2359</v>
      </c>
      <c r="D1891" s="12" t="str">
        <f>"1873-6130"</f>
        <v>1873-6130</v>
      </c>
      <c r="E1891" s="5">
        <v>2.1840000000000002</v>
      </c>
      <c r="F1891" s="5">
        <v>0.59499999999999997</v>
      </c>
    </row>
    <row r="1892" spans="2:6" x14ac:dyDescent="0.2">
      <c r="B1892" s="9" t="s">
        <v>2360</v>
      </c>
      <c r="C1892" s="15" t="s">
        <v>2361</v>
      </c>
      <c r="D1892" s="12" t="str">
        <f>"1368-4221"</f>
        <v>1368-4221</v>
      </c>
      <c r="E1892" s="5">
        <v>4.5709999999999997</v>
      </c>
      <c r="F1892" s="5">
        <v>0.93600000000000005</v>
      </c>
    </row>
    <row r="1893" spans="2:6" x14ac:dyDescent="0.2">
      <c r="B1893" s="9" t="s">
        <v>2362</v>
      </c>
      <c r="C1893" s="15" t="s">
        <v>2363</v>
      </c>
      <c r="D1893" s="12" t="str">
        <f>"0747-4938"</f>
        <v>0747-4938</v>
      </c>
      <c r="E1893" s="5">
        <v>1.718</v>
      </c>
      <c r="F1893" s="5">
        <v>0.56799999999999995</v>
      </c>
    </row>
    <row r="1894" spans="2:6" x14ac:dyDescent="0.2">
      <c r="B1894" s="9" t="s">
        <v>5715</v>
      </c>
      <c r="C1894" s="15" t="s">
        <v>5715</v>
      </c>
      <c r="D1894" s="12" t="str">
        <f>"0012-9682"</f>
        <v>0012-9682</v>
      </c>
      <c r="E1894" s="5">
        <v>5.8440000000000003</v>
      </c>
      <c r="F1894" s="5">
        <v>0.96</v>
      </c>
    </row>
    <row r="1895" spans="2:6" x14ac:dyDescent="0.2">
      <c r="B1895" s="9" t="s">
        <v>9157</v>
      </c>
      <c r="C1895" s="15" t="s">
        <v>9158</v>
      </c>
      <c r="D1895" s="12" t="str">
        <f>"0266-4666"</f>
        <v>0266-4666</v>
      </c>
      <c r="E1895" s="5">
        <v>2.0990000000000002</v>
      </c>
      <c r="F1895" s="5">
        <v>0.67200000000000004</v>
      </c>
    </row>
    <row r="1896" spans="2:6" x14ac:dyDescent="0.2">
      <c r="B1896" s="9" t="s">
        <v>2364</v>
      </c>
      <c r="C1896" s="15" t="s">
        <v>2364</v>
      </c>
      <c r="D1896" s="12" t="str">
        <f>"1525-2531"</f>
        <v>1525-2531</v>
      </c>
      <c r="E1896" s="5">
        <v>0.16700000000000001</v>
      </c>
      <c r="F1896" s="5">
        <v>5.8999999999999997E-2</v>
      </c>
    </row>
    <row r="1897" spans="2:6" x14ac:dyDescent="0.2">
      <c r="B1897" s="9" t="s">
        <v>5716</v>
      </c>
      <c r="C1897" s="15" t="s">
        <v>4064</v>
      </c>
      <c r="D1897" s="12" t="str">
        <f>"0147-6513"</f>
        <v>0147-6513</v>
      </c>
      <c r="E1897" s="5">
        <v>6.2910000000000004</v>
      </c>
      <c r="F1897" s="5">
        <v>0.92500000000000004</v>
      </c>
    </row>
    <row r="1898" spans="2:6" x14ac:dyDescent="0.2">
      <c r="B1898" s="9" t="s">
        <v>5717</v>
      </c>
      <c r="C1898" s="15" t="s">
        <v>5717</v>
      </c>
      <c r="D1898" s="12" t="str">
        <f>"0963-9292"</f>
        <v>0963-9292</v>
      </c>
      <c r="E1898" s="5">
        <v>2.823</v>
      </c>
      <c r="F1898" s="5">
        <v>0.54200000000000004</v>
      </c>
    </row>
    <row r="1899" spans="2:6" x14ac:dyDescent="0.2">
      <c r="B1899" s="9" t="s">
        <v>9159</v>
      </c>
      <c r="C1899" s="15" t="s">
        <v>9160</v>
      </c>
      <c r="D1899" s="12" t="str">
        <f>"1749-7728"</f>
        <v>1749-7728</v>
      </c>
      <c r="E1899" s="5">
        <v>2.3330000000000002</v>
      </c>
      <c r="F1899" s="5">
        <v>0.51200000000000001</v>
      </c>
    </row>
    <row r="1900" spans="2:6" x14ac:dyDescent="0.2">
      <c r="B1900" s="9" t="s">
        <v>9161</v>
      </c>
      <c r="C1900" s="15" t="s">
        <v>9162</v>
      </c>
      <c r="D1900" s="12" t="str">
        <f>"0731-1745"</f>
        <v>0731-1745</v>
      </c>
      <c r="E1900" s="5">
        <v>1.702</v>
      </c>
      <c r="F1900" s="5">
        <v>0.29899999999999999</v>
      </c>
    </row>
    <row r="1901" spans="2:6" x14ac:dyDescent="0.2">
      <c r="B1901" s="9" t="s">
        <v>2365</v>
      </c>
      <c r="C1901" s="15" t="s">
        <v>2366</v>
      </c>
      <c r="D1901" s="12" t="str">
        <f>"0013-1644"</f>
        <v>0013-1644</v>
      </c>
      <c r="E1901" s="5">
        <v>2.8210000000000002</v>
      </c>
      <c r="F1901" s="5">
        <v>0.71299999999999997</v>
      </c>
    </row>
    <row r="1902" spans="2:6" x14ac:dyDescent="0.2">
      <c r="B1902" s="9" t="s">
        <v>2367</v>
      </c>
      <c r="C1902" s="15" t="s">
        <v>2368</v>
      </c>
      <c r="D1902" s="12" t="str">
        <f>"1040-726X"</f>
        <v>1040-726X</v>
      </c>
      <c r="E1902" s="5">
        <v>8.7050000000000001</v>
      </c>
      <c r="F1902" s="5">
        <v>0.98299999999999998</v>
      </c>
    </row>
    <row r="1903" spans="2:6" x14ac:dyDescent="0.2">
      <c r="B1903" s="9" t="s">
        <v>9163</v>
      </c>
      <c r="C1903" s="15" t="s">
        <v>9164</v>
      </c>
      <c r="D1903" s="12" t="str">
        <f>"0144-3410"</f>
        <v>0144-3410</v>
      </c>
      <c r="E1903" s="5">
        <v>2.903</v>
      </c>
      <c r="F1903" s="5">
        <v>0.67</v>
      </c>
    </row>
    <row r="1904" spans="2:6" x14ac:dyDescent="0.2">
      <c r="B1904" s="9" t="s">
        <v>2369</v>
      </c>
      <c r="C1904" s="15" t="s">
        <v>2370</v>
      </c>
      <c r="D1904" s="12" t="str">
        <f>"0046-1520"</f>
        <v>0046-1520</v>
      </c>
      <c r="E1904" s="5">
        <v>9.5410000000000004</v>
      </c>
      <c r="F1904" s="5">
        <v>1</v>
      </c>
    </row>
    <row r="1905" spans="2:6" x14ac:dyDescent="0.2">
      <c r="B1905" s="9" t="s">
        <v>9165</v>
      </c>
      <c r="C1905" s="15" t="s">
        <v>9166</v>
      </c>
      <c r="D1905" s="12" t="str">
        <f>"2154-1647"</f>
        <v>2154-1647</v>
      </c>
      <c r="E1905" s="5">
        <v>1.5780000000000001</v>
      </c>
      <c r="F1905" s="5">
        <v>0.29499999999999998</v>
      </c>
    </row>
    <row r="1906" spans="2:6" x14ac:dyDescent="0.2">
      <c r="B1906" s="9" t="s">
        <v>9167</v>
      </c>
      <c r="C1906" s="15" t="s">
        <v>9168</v>
      </c>
      <c r="D1906" s="12" t="str">
        <f>"0748-8491"</f>
        <v>0748-8491</v>
      </c>
      <c r="E1906" s="5">
        <v>1.4910000000000001</v>
      </c>
      <c r="F1906" s="5">
        <v>0.22700000000000001</v>
      </c>
    </row>
    <row r="1907" spans="2:6" x14ac:dyDescent="0.2">
      <c r="B1907" s="9" t="s">
        <v>9169</v>
      </c>
      <c r="C1907" s="15" t="s">
        <v>9170</v>
      </c>
      <c r="D1907" s="12" t="str">
        <f>"2396-7544"</f>
        <v>2396-7544</v>
      </c>
      <c r="E1907" s="5">
        <v>4.6180000000000003</v>
      </c>
      <c r="F1907" s="5">
        <v>0.86399999999999999</v>
      </c>
    </row>
    <row r="1908" spans="2:6" x14ac:dyDescent="0.2">
      <c r="B1908" s="9" t="s">
        <v>9171</v>
      </c>
      <c r="C1908" s="15" t="s">
        <v>9172</v>
      </c>
      <c r="D1908" s="12" t="str">
        <f>"2197-7364"</f>
        <v>2197-7364</v>
      </c>
      <c r="E1908" s="5">
        <v>3.3090000000000002</v>
      </c>
      <c r="F1908" s="5">
        <v>0.59399999999999997</v>
      </c>
    </row>
    <row r="1909" spans="2:6" x14ac:dyDescent="0.2">
      <c r="B1909" s="9" t="s">
        <v>9173</v>
      </c>
      <c r="C1909" s="15" t="s">
        <v>9174</v>
      </c>
      <c r="D1909" s="12" t="str">
        <f>"2191-219X"</f>
        <v>2191-219X</v>
      </c>
      <c r="E1909" s="5">
        <v>3.1379999999999999</v>
      </c>
      <c r="F1909" s="5">
        <v>0.56399999999999995</v>
      </c>
    </row>
    <row r="1910" spans="2:6" x14ac:dyDescent="0.2">
      <c r="B1910" s="9" t="s">
        <v>5718</v>
      </c>
      <c r="C1910" s="15" t="s">
        <v>4065</v>
      </c>
      <c r="D1910" s="12" t="str">
        <f>"0748-7983"</f>
        <v>0748-7983</v>
      </c>
      <c r="E1910" s="5">
        <v>4.4240000000000004</v>
      </c>
      <c r="F1910" s="5">
        <v>0.84299999999999997</v>
      </c>
    </row>
    <row r="1911" spans="2:6" x14ac:dyDescent="0.2">
      <c r="B1911" s="9" t="s">
        <v>7131</v>
      </c>
      <c r="C1911" s="15" t="s">
        <v>4066</v>
      </c>
      <c r="D1911" s="12" t="str">
        <f>"1040-0397"</f>
        <v>1040-0397</v>
      </c>
      <c r="E1911" s="5">
        <v>3.2229999999999999</v>
      </c>
      <c r="F1911" s="5">
        <v>0.59</v>
      </c>
    </row>
    <row r="1912" spans="2:6" x14ac:dyDescent="0.2">
      <c r="B1912" s="9" t="s">
        <v>7132</v>
      </c>
      <c r="C1912" s="15" t="s">
        <v>4067</v>
      </c>
      <c r="D1912" s="12" t="str">
        <f>"1536-8378"</f>
        <v>1536-8378</v>
      </c>
      <c r="E1912" s="5">
        <v>2.8820000000000001</v>
      </c>
      <c r="F1912" s="5">
        <v>0.65600000000000003</v>
      </c>
    </row>
    <row r="1913" spans="2:6" x14ac:dyDescent="0.2">
      <c r="B1913" s="9" t="s">
        <v>2371</v>
      </c>
      <c r="C1913" s="15" t="s">
        <v>2372</v>
      </c>
      <c r="D1913" s="12" t="str">
        <f>"1567-4223"</f>
        <v>1567-4223</v>
      </c>
      <c r="E1913" s="5">
        <v>6.0140000000000002</v>
      </c>
      <c r="F1913" s="5">
        <v>0.874</v>
      </c>
    </row>
    <row r="1914" spans="2:6" x14ac:dyDescent="0.2">
      <c r="B1914" s="9" t="s">
        <v>7133</v>
      </c>
      <c r="C1914" s="15" t="s">
        <v>4068</v>
      </c>
      <c r="D1914" s="12" t="str">
        <f>"1083-589X"</f>
        <v>1083-589X</v>
      </c>
      <c r="E1914" s="5">
        <v>0.78200000000000003</v>
      </c>
      <c r="F1914" s="5">
        <v>0.112</v>
      </c>
    </row>
    <row r="1915" spans="2:6" x14ac:dyDescent="0.2">
      <c r="B1915" s="9" t="s">
        <v>7134</v>
      </c>
      <c r="C1915" s="15" t="s">
        <v>4069</v>
      </c>
      <c r="D1915" s="12" t="str">
        <f>"0717-3458"</f>
        <v>0717-3458</v>
      </c>
      <c r="E1915" s="5">
        <v>2.8</v>
      </c>
      <c r="F1915" s="5">
        <v>0.41099999999999998</v>
      </c>
    </row>
    <row r="1916" spans="2:6" x14ac:dyDescent="0.2">
      <c r="B1916" s="9" t="s">
        <v>7135</v>
      </c>
      <c r="C1916" s="15" t="s">
        <v>4070</v>
      </c>
      <c r="D1916" s="12" t="str">
        <f>"1083-6489"</f>
        <v>1083-6489</v>
      </c>
      <c r="E1916" s="5">
        <v>1.151</v>
      </c>
      <c r="F1916" s="5">
        <v>0.35199999999999998</v>
      </c>
    </row>
    <row r="1917" spans="2:6" x14ac:dyDescent="0.2">
      <c r="B1917" s="9" t="s">
        <v>9175</v>
      </c>
      <c r="C1917" s="15" t="s">
        <v>9176</v>
      </c>
      <c r="D1917" s="12" t="str">
        <f>"1935-7524"</f>
        <v>1935-7524</v>
      </c>
      <c r="E1917" s="5">
        <v>1.125</v>
      </c>
      <c r="F1917" s="5">
        <v>0.33600000000000002</v>
      </c>
    </row>
    <row r="1918" spans="2:6" x14ac:dyDescent="0.2">
      <c r="B1918" s="9" t="s">
        <v>2373</v>
      </c>
      <c r="C1918" s="15" t="s">
        <v>2374</v>
      </c>
      <c r="D1918" s="12" t="str">
        <f>"0264-0473"</f>
        <v>0264-0473</v>
      </c>
      <c r="E1918" s="5">
        <v>1.4530000000000001</v>
      </c>
      <c r="F1918" s="5">
        <v>0.35299999999999998</v>
      </c>
    </row>
    <row r="1919" spans="2:6" x14ac:dyDescent="0.2">
      <c r="B1919" s="9" t="s">
        <v>7136</v>
      </c>
      <c r="C1919" s="15" t="s">
        <v>7136</v>
      </c>
      <c r="D1919" s="12" t="str">
        <f>"0173-0835"</f>
        <v>0173-0835</v>
      </c>
      <c r="E1919" s="5">
        <v>3.5350000000000001</v>
      </c>
      <c r="F1919" s="5">
        <v>0.68700000000000006</v>
      </c>
    </row>
    <row r="1920" spans="2:6" x14ac:dyDescent="0.2">
      <c r="B1920" s="9" t="s">
        <v>9177</v>
      </c>
      <c r="C1920" s="15" t="s">
        <v>9178</v>
      </c>
      <c r="D1920" s="12" t="str">
        <f>"2050-084X"</f>
        <v>2050-084X</v>
      </c>
      <c r="E1920" s="5">
        <v>8.14</v>
      </c>
      <c r="F1920" s="5">
        <v>0.95699999999999996</v>
      </c>
    </row>
    <row r="1921" spans="2:6" x14ac:dyDescent="0.2">
      <c r="B1921" s="9" t="s">
        <v>7137</v>
      </c>
      <c r="C1921" s="15" t="s">
        <v>4071</v>
      </c>
      <c r="D1921" s="12" t="str">
        <f>"0261-4189"</f>
        <v>0261-4189</v>
      </c>
      <c r="E1921" s="5">
        <v>11.598000000000001</v>
      </c>
      <c r="F1921" s="5">
        <v>0.92900000000000005</v>
      </c>
    </row>
    <row r="1922" spans="2:6" x14ac:dyDescent="0.2">
      <c r="B1922" s="9" t="s">
        <v>9179</v>
      </c>
      <c r="C1922" s="15" t="s">
        <v>9180</v>
      </c>
      <c r="D1922" s="12" t="str">
        <f>"1757-4684"</f>
        <v>1757-4684</v>
      </c>
      <c r="E1922" s="5">
        <v>12.137</v>
      </c>
      <c r="F1922" s="5">
        <v>0.95699999999999996</v>
      </c>
    </row>
    <row r="1923" spans="2:6" x14ac:dyDescent="0.2">
      <c r="B1923" s="9" t="s">
        <v>7138</v>
      </c>
      <c r="C1923" s="15" t="s">
        <v>4072</v>
      </c>
      <c r="D1923" s="12" t="str">
        <f>"1469-3178"</f>
        <v>1469-3178</v>
      </c>
      <c r="E1923" s="5">
        <v>8.8070000000000004</v>
      </c>
      <c r="F1923" s="5">
        <v>0.89200000000000002</v>
      </c>
    </row>
    <row r="1924" spans="2:6" x14ac:dyDescent="0.2">
      <c r="B1924" s="9" t="s">
        <v>9181</v>
      </c>
      <c r="C1924" s="15" t="s">
        <v>9182</v>
      </c>
      <c r="D1924" s="12" t="str">
        <f>"1020-3397"</f>
        <v>1020-3397</v>
      </c>
      <c r="E1924" s="5">
        <v>1.6279999999999999</v>
      </c>
      <c r="F1924" s="5">
        <v>0.23499999999999999</v>
      </c>
    </row>
    <row r="1925" spans="2:6" x14ac:dyDescent="0.2">
      <c r="B1925" s="9" t="s">
        <v>9183</v>
      </c>
      <c r="C1925" s="15" t="s">
        <v>9184</v>
      </c>
      <c r="D1925" s="12" t="str">
        <f>"2167-6968"</f>
        <v>2167-6968</v>
      </c>
      <c r="E1925" s="5">
        <v>1.56</v>
      </c>
      <c r="F1925" s="5">
        <v>0.34799999999999998</v>
      </c>
    </row>
    <row r="1926" spans="2:6" x14ac:dyDescent="0.2">
      <c r="B1926" s="9" t="s">
        <v>9185</v>
      </c>
      <c r="C1926" s="15" t="s">
        <v>9186</v>
      </c>
      <c r="D1926" s="12" t="str">
        <f>"1137-6821"</f>
        <v>1137-6821</v>
      </c>
      <c r="E1926" s="5">
        <v>3.8809999999999998</v>
      </c>
      <c r="F1926" s="5">
        <v>0.875</v>
      </c>
    </row>
    <row r="1927" spans="2:6" x14ac:dyDescent="0.2">
      <c r="B1927" s="9" t="s">
        <v>7139</v>
      </c>
      <c r="C1927" s="15" t="s">
        <v>4073</v>
      </c>
      <c r="D1927" s="12" t="str">
        <f>"1080-6040"</f>
        <v>1080-6040</v>
      </c>
      <c r="E1927" s="5">
        <v>6.883</v>
      </c>
      <c r="F1927" s="5">
        <v>0.93500000000000005</v>
      </c>
    </row>
    <row r="1928" spans="2:6" x14ac:dyDescent="0.2">
      <c r="B1928" s="9" t="s">
        <v>2375</v>
      </c>
      <c r="C1928" s="15" t="s">
        <v>1054</v>
      </c>
      <c r="D1928" s="12" t="str">
        <f>"1742-6731"</f>
        <v>1742-6731</v>
      </c>
      <c r="E1928" s="5">
        <v>2.1509999999999998</v>
      </c>
      <c r="F1928" s="5">
        <v>0.46899999999999997</v>
      </c>
    </row>
    <row r="1929" spans="2:6" x14ac:dyDescent="0.2">
      <c r="B1929" s="9" t="s">
        <v>7140</v>
      </c>
      <c r="C1929" s="15" t="s">
        <v>4074</v>
      </c>
      <c r="D1929" s="12" t="str">
        <f>"0733-8627"</f>
        <v>0733-8627</v>
      </c>
      <c r="E1929" s="5">
        <v>2.2639999999999998</v>
      </c>
      <c r="F1929" s="5">
        <v>0.5</v>
      </c>
    </row>
    <row r="1930" spans="2:6" x14ac:dyDescent="0.2">
      <c r="B1930" s="9" t="s">
        <v>9187</v>
      </c>
      <c r="C1930" s="15" t="s">
        <v>9188</v>
      </c>
      <c r="D1930" s="12" t="str">
        <f>"2090-2840"</f>
        <v>2090-2840</v>
      </c>
      <c r="E1930" s="5">
        <v>1.1120000000000001</v>
      </c>
      <c r="F1930" s="5">
        <v>0.219</v>
      </c>
    </row>
    <row r="1931" spans="2:6" x14ac:dyDescent="0.2">
      <c r="B1931" s="9" t="s">
        <v>7141</v>
      </c>
      <c r="C1931" s="15" t="s">
        <v>4075</v>
      </c>
      <c r="D1931" s="12" t="str">
        <f>"1472-0205"</f>
        <v>1472-0205</v>
      </c>
      <c r="E1931" s="5">
        <v>2.74</v>
      </c>
      <c r="F1931" s="5">
        <v>0.68799999999999994</v>
      </c>
    </row>
    <row r="1932" spans="2:6" x14ac:dyDescent="0.2">
      <c r="B1932" s="9" t="s">
        <v>9189</v>
      </c>
      <c r="C1932" s="15" t="s">
        <v>9190</v>
      </c>
      <c r="D1932" s="12" t="str">
        <f>"2222-1751"</f>
        <v>2222-1751</v>
      </c>
      <c r="E1932" s="5">
        <v>7.1630000000000003</v>
      </c>
      <c r="F1932" s="5">
        <v>0.94599999999999995</v>
      </c>
    </row>
    <row r="1933" spans="2:6" x14ac:dyDescent="0.2">
      <c r="B1933" s="9" t="s">
        <v>1055</v>
      </c>
      <c r="C1933" s="15" t="s">
        <v>1055</v>
      </c>
      <c r="D1933" s="12" t="str">
        <f>"1528-3542"</f>
        <v>1528-3542</v>
      </c>
      <c r="E1933" s="5">
        <v>4.3289999999999997</v>
      </c>
      <c r="F1933" s="5">
        <v>0.878</v>
      </c>
    </row>
    <row r="1934" spans="2:6" x14ac:dyDescent="0.2">
      <c r="B1934" s="9" t="s">
        <v>9191</v>
      </c>
      <c r="C1934" s="15" t="s">
        <v>9192</v>
      </c>
      <c r="D1934" s="12" t="str">
        <f>"1754-0739"</f>
        <v>1754-0739</v>
      </c>
      <c r="E1934" s="5">
        <v>6.4690000000000003</v>
      </c>
      <c r="F1934" s="5">
        <v>0.92100000000000004</v>
      </c>
    </row>
    <row r="1935" spans="2:6" x14ac:dyDescent="0.2">
      <c r="B1935" s="9" t="s">
        <v>9193</v>
      </c>
      <c r="C1935" s="15" t="s">
        <v>9194</v>
      </c>
      <c r="D1935" s="12" t="str">
        <f>"1755-4586"</f>
        <v>1755-4586</v>
      </c>
      <c r="E1935" s="5">
        <v>1.9830000000000001</v>
      </c>
      <c r="F1935" s="5">
        <v>0.52300000000000002</v>
      </c>
    </row>
    <row r="1936" spans="2:6" x14ac:dyDescent="0.2">
      <c r="B1936" s="9" t="s">
        <v>9195</v>
      </c>
      <c r="C1936" s="15" t="s">
        <v>9196</v>
      </c>
      <c r="D1936" s="12" t="str">
        <f>"0276-2374"</f>
        <v>0276-2374</v>
      </c>
      <c r="E1936" s="5">
        <v>2.3479999999999999</v>
      </c>
      <c r="F1936" s="5">
        <v>0.56100000000000005</v>
      </c>
    </row>
    <row r="1937" spans="2:6" x14ac:dyDescent="0.2">
      <c r="B1937" s="9" t="s">
        <v>7142</v>
      </c>
      <c r="C1937" s="15" t="s">
        <v>4076</v>
      </c>
      <c r="D1937" s="12" t="str">
        <f>"0013-7006"</f>
        <v>0013-7006</v>
      </c>
      <c r="E1937" s="5">
        <v>1.2909999999999999</v>
      </c>
      <c r="F1937" s="5">
        <v>0.17100000000000001</v>
      </c>
    </row>
    <row r="1938" spans="2:6" x14ac:dyDescent="0.2">
      <c r="B1938" s="9" t="s">
        <v>7143</v>
      </c>
      <c r="C1938" s="15" t="s">
        <v>7143</v>
      </c>
      <c r="D1938" s="12" t="str">
        <f>"0160-9327"</f>
        <v>0160-9327</v>
      </c>
      <c r="E1938" s="5">
        <v>0.44400000000000001</v>
      </c>
      <c r="F1938" s="5">
        <v>0.216</v>
      </c>
    </row>
    <row r="1939" spans="2:6" x14ac:dyDescent="0.2">
      <c r="B1939" s="9" t="s">
        <v>9197</v>
      </c>
      <c r="C1939" s="15" t="s">
        <v>9198</v>
      </c>
      <c r="D1939" s="12" t="str">
        <f>"2049-3614"</f>
        <v>2049-3614</v>
      </c>
      <c r="E1939" s="5">
        <v>3.335</v>
      </c>
      <c r="F1939" s="5">
        <v>0.35899999999999999</v>
      </c>
    </row>
    <row r="1940" spans="2:6" x14ac:dyDescent="0.2">
      <c r="B1940" s="9" t="s">
        <v>7149</v>
      </c>
      <c r="C1940" s="15" t="s">
        <v>7149</v>
      </c>
      <c r="D1940" s="12" t="str">
        <f>"1355-008X"</f>
        <v>1355-008X</v>
      </c>
      <c r="E1940" s="5">
        <v>3.633</v>
      </c>
      <c r="F1940" s="5">
        <v>0.434</v>
      </c>
    </row>
    <row r="1941" spans="2:6" x14ac:dyDescent="0.2">
      <c r="B1941" s="9" t="s">
        <v>7148</v>
      </c>
      <c r="C1941" s="15" t="s">
        <v>4081</v>
      </c>
      <c r="D1941" s="12" t="str">
        <f>"0889-8529"</f>
        <v>0889-8529</v>
      </c>
      <c r="E1941" s="5">
        <v>4.7409999999999997</v>
      </c>
      <c r="F1941" s="5">
        <v>0.66900000000000004</v>
      </c>
    </row>
    <row r="1942" spans="2:6" x14ac:dyDescent="0.2">
      <c r="B1942" s="9" t="s">
        <v>9199</v>
      </c>
      <c r="C1942" s="15" t="s">
        <v>9200</v>
      </c>
      <c r="D1942" s="12" t="str">
        <f>"2530-0180"</f>
        <v>2530-0180</v>
      </c>
      <c r="E1942" s="5">
        <v>1.417</v>
      </c>
      <c r="F1942" s="5">
        <v>0.14799999999999999</v>
      </c>
    </row>
    <row r="1943" spans="2:6" x14ac:dyDescent="0.2">
      <c r="B1943" s="9" t="s">
        <v>9201</v>
      </c>
      <c r="C1943" s="15" t="s">
        <v>9202</v>
      </c>
      <c r="D1943" s="12" t="str">
        <f>"2093-596X"</f>
        <v>2093-596X</v>
      </c>
      <c r="E1943" s="5">
        <v>4.01</v>
      </c>
      <c r="F1943" s="5">
        <v>0.503</v>
      </c>
    </row>
    <row r="1944" spans="2:6" x14ac:dyDescent="0.2">
      <c r="B1944" s="9" t="s">
        <v>7150</v>
      </c>
      <c r="C1944" s="15" t="s">
        <v>7150</v>
      </c>
      <c r="D1944" s="12" t="str">
        <f>"0013-7227"</f>
        <v>0013-7227</v>
      </c>
      <c r="E1944" s="5">
        <v>4.7359999999999998</v>
      </c>
      <c r="F1944" s="5">
        <v>0.66200000000000003</v>
      </c>
    </row>
    <row r="1945" spans="2:6" x14ac:dyDescent="0.2">
      <c r="B1945" s="9" t="s">
        <v>7144</v>
      </c>
      <c r="C1945" s="15" t="s">
        <v>4077</v>
      </c>
      <c r="D1945" s="12" t="str">
        <f>"0918-8959"</f>
        <v>0918-8959</v>
      </c>
      <c r="E1945" s="5">
        <v>2.3490000000000002</v>
      </c>
      <c r="F1945" s="5">
        <v>0.159</v>
      </c>
    </row>
    <row r="1946" spans="2:6" x14ac:dyDescent="0.2">
      <c r="B1946" s="9" t="s">
        <v>9203</v>
      </c>
      <c r="C1946" s="15" t="s">
        <v>9204</v>
      </c>
      <c r="D1946" s="12" t="str">
        <f>"1871-5303"</f>
        <v>1871-5303</v>
      </c>
      <c r="E1946" s="5">
        <v>2.895</v>
      </c>
      <c r="F1946" s="5">
        <v>0.38500000000000001</v>
      </c>
    </row>
    <row r="1947" spans="2:6" x14ac:dyDescent="0.2">
      <c r="B1947" s="9" t="s">
        <v>7145</v>
      </c>
      <c r="C1947" s="15" t="s">
        <v>4078</v>
      </c>
      <c r="D1947" s="12" t="str">
        <f>"1559-0097"</f>
        <v>1559-0097</v>
      </c>
      <c r="E1947" s="5">
        <v>3.9430000000000001</v>
      </c>
      <c r="F1947" s="5">
        <v>0.70099999999999996</v>
      </c>
    </row>
    <row r="1948" spans="2:6" x14ac:dyDescent="0.2">
      <c r="B1948" s="9" t="s">
        <v>9205</v>
      </c>
      <c r="C1948" s="15" t="s">
        <v>9206</v>
      </c>
      <c r="D1948" s="12" t="str">
        <f>"1530-891X"</f>
        <v>1530-891X</v>
      </c>
      <c r="E1948" s="5">
        <v>3.4430000000000001</v>
      </c>
      <c r="F1948" s="5">
        <v>0.38600000000000001</v>
      </c>
    </row>
    <row r="1949" spans="2:6" x14ac:dyDescent="0.2">
      <c r="B1949" s="9" t="s">
        <v>7151</v>
      </c>
      <c r="C1949" s="15" t="s">
        <v>4082</v>
      </c>
      <c r="D1949" s="12" t="str">
        <f>"1351-0088"</f>
        <v>1351-0088</v>
      </c>
      <c r="E1949" s="5">
        <v>5.6779999999999999</v>
      </c>
      <c r="F1949" s="5">
        <v>0.8</v>
      </c>
    </row>
    <row r="1950" spans="2:6" x14ac:dyDescent="0.2">
      <c r="B1950" s="9" t="s">
        <v>7146</v>
      </c>
      <c r="C1950" s="15" t="s">
        <v>4079</v>
      </c>
      <c r="D1950" s="12" t="str">
        <f>"0743-5800"</f>
        <v>0743-5800</v>
      </c>
      <c r="E1950" s="5">
        <v>1.72</v>
      </c>
      <c r="F1950" s="5">
        <v>0.10299999999999999</v>
      </c>
    </row>
    <row r="1951" spans="2:6" x14ac:dyDescent="0.2">
      <c r="B1951" s="9" t="s">
        <v>7147</v>
      </c>
      <c r="C1951" s="15" t="s">
        <v>4080</v>
      </c>
      <c r="D1951" s="12" t="str">
        <f>"0163-769X"</f>
        <v>0163-769X</v>
      </c>
      <c r="E1951" s="5">
        <v>19.870999999999999</v>
      </c>
      <c r="F1951" s="5">
        <v>0.97899999999999998</v>
      </c>
    </row>
    <row r="1952" spans="2:6" x14ac:dyDescent="0.2">
      <c r="B1952" s="9" t="s">
        <v>9207</v>
      </c>
      <c r="C1952" s="15" t="s">
        <v>9208</v>
      </c>
      <c r="D1952" s="12" t="str">
        <f>"0423-104X"</f>
        <v>0423-104X</v>
      </c>
      <c r="E1952" s="5">
        <v>1.5820000000000001</v>
      </c>
      <c r="F1952" s="5">
        <v>8.3000000000000004E-2</v>
      </c>
    </row>
    <row r="1953" spans="2:6" x14ac:dyDescent="0.2">
      <c r="B1953" s="9" t="s">
        <v>7152</v>
      </c>
      <c r="C1953" s="15" t="s">
        <v>7152</v>
      </c>
      <c r="D1953" s="12" t="str">
        <f>"0013-726X"</f>
        <v>0013-726X</v>
      </c>
      <c r="E1953" s="5">
        <v>10.093</v>
      </c>
      <c r="F1953" s="5">
        <v>0.98099999999999998</v>
      </c>
    </row>
    <row r="1954" spans="2:6" x14ac:dyDescent="0.2">
      <c r="B1954" s="9" t="s">
        <v>9209</v>
      </c>
      <c r="C1954" s="15" t="s">
        <v>9210</v>
      </c>
      <c r="D1954" s="12" t="str">
        <f>"2303-9027"</f>
        <v>2303-9027</v>
      </c>
      <c r="E1954" s="5">
        <v>5.6280000000000001</v>
      </c>
      <c r="F1954" s="5">
        <v>0.69599999999999995</v>
      </c>
    </row>
    <row r="1955" spans="2:6" x14ac:dyDescent="0.2">
      <c r="B1955" s="9" t="s">
        <v>9211</v>
      </c>
      <c r="C1955" s="15" t="s">
        <v>9212</v>
      </c>
      <c r="D1955" s="12" t="str">
        <f>"1754-5692"</f>
        <v>1754-5692</v>
      </c>
      <c r="E1955" s="5">
        <v>38.531999999999996</v>
      </c>
      <c r="F1955" s="5">
        <v>1</v>
      </c>
    </row>
    <row r="1956" spans="2:6" x14ac:dyDescent="0.2">
      <c r="B1956" s="9" t="s">
        <v>9213</v>
      </c>
      <c r="C1956" s="15" t="s">
        <v>9214</v>
      </c>
      <c r="D1956" s="12" t="str">
        <f>"2373-2822"</f>
        <v>2373-2822</v>
      </c>
      <c r="E1956" s="5">
        <v>4.0810000000000004</v>
      </c>
      <c r="F1956" s="5">
        <v>0.60099999999999998</v>
      </c>
    </row>
    <row r="1957" spans="2:6" x14ac:dyDescent="0.2">
      <c r="B1957" s="9" t="s">
        <v>7153</v>
      </c>
      <c r="C1957" s="15" t="s">
        <v>4083</v>
      </c>
      <c r="D1957" s="12" t="str">
        <f>"0213-005X"</f>
        <v>0213-005X</v>
      </c>
      <c r="E1957" s="5">
        <v>1.7310000000000001</v>
      </c>
      <c r="F1957" s="5">
        <v>0.13</v>
      </c>
    </row>
    <row r="1958" spans="2:6" x14ac:dyDescent="0.2">
      <c r="B1958" s="9" t="s">
        <v>9215</v>
      </c>
      <c r="C1958" s="15" t="s">
        <v>9216</v>
      </c>
      <c r="D1958" s="12" t="str">
        <f>"1994-2060"</f>
        <v>1994-2060</v>
      </c>
      <c r="E1958" s="5">
        <v>8.391</v>
      </c>
      <c r="F1958" s="5">
        <v>0.98499999999999999</v>
      </c>
    </row>
    <row r="1959" spans="2:6" x14ac:dyDescent="0.2">
      <c r="B1959" s="9" t="s">
        <v>7154</v>
      </c>
      <c r="C1959" s="15" t="s">
        <v>4084</v>
      </c>
      <c r="D1959" s="12" t="str">
        <f>"0264-4401"</f>
        <v>0264-4401</v>
      </c>
      <c r="E1959" s="5">
        <v>1.593</v>
      </c>
      <c r="F1959" s="5">
        <v>0.35199999999999998</v>
      </c>
    </row>
    <row r="1960" spans="2:6" x14ac:dyDescent="0.2">
      <c r="B1960" s="9" t="s">
        <v>7155</v>
      </c>
      <c r="C1960" s="15" t="s">
        <v>4085</v>
      </c>
      <c r="D1960" s="12" t="str">
        <f>"0177-0667"</f>
        <v>0177-0667</v>
      </c>
      <c r="E1960" s="5">
        <v>7.9630000000000001</v>
      </c>
      <c r="F1960" s="5">
        <v>0.97699999999999998</v>
      </c>
    </row>
    <row r="1961" spans="2:6" x14ac:dyDescent="0.2">
      <c r="B1961" s="9" t="s">
        <v>7156</v>
      </c>
      <c r="C1961" s="15" t="s">
        <v>4086</v>
      </c>
      <c r="D1961" s="12" t="str">
        <f>"1350-6307"</f>
        <v>1350-6307</v>
      </c>
      <c r="E1961" s="5">
        <v>3.1139999999999999</v>
      </c>
      <c r="F1961" s="5">
        <v>0.75</v>
      </c>
    </row>
    <row r="1962" spans="2:6" x14ac:dyDescent="0.2">
      <c r="B1962" s="9" t="s">
        <v>7157</v>
      </c>
      <c r="C1962" s="15" t="s">
        <v>4087</v>
      </c>
      <c r="D1962" s="12" t="str">
        <f>"1618-0240"</f>
        <v>1618-0240</v>
      </c>
      <c r="E1962" s="5">
        <v>2.6779999999999999</v>
      </c>
      <c r="F1962" s="5">
        <v>0.373</v>
      </c>
    </row>
    <row r="1963" spans="2:6" x14ac:dyDescent="0.2">
      <c r="B1963" s="9" t="s">
        <v>9217</v>
      </c>
      <c r="C1963" s="15" t="s">
        <v>9218</v>
      </c>
      <c r="D1963" s="12" t="str">
        <f>"1937-8629"</f>
        <v>1937-8629</v>
      </c>
      <c r="E1963" s="5">
        <v>0.94399999999999995</v>
      </c>
      <c r="F1963" s="5">
        <v>0.52700000000000002</v>
      </c>
    </row>
    <row r="1964" spans="2:6" x14ac:dyDescent="0.2">
      <c r="B1964" s="9" t="s">
        <v>1056</v>
      </c>
      <c r="C1964" s="15" t="s">
        <v>1057</v>
      </c>
      <c r="D1964" s="12" t="str">
        <f>"0145-5613"</f>
        <v>0145-5613</v>
      </c>
      <c r="E1964" s="5">
        <v>1.6970000000000001</v>
      </c>
      <c r="F1964" s="5">
        <v>0.34100000000000003</v>
      </c>
    </row>
    <row r="1965" spans="2:6" x14ac:dyDescent="0.2">
      <c r="B1965" s="9" t="s">
        <v>9219</v>
      </c>
      <c r="C1965" s="15" t="s">
        <v>9220</v>
      </c>
      <c r="D1965" s="12" t="str">
        <f>"1875-9521"</f>
        <v>1875-9521</v>
      </c>
      <c r="E1965" s="5">
        <v>1.4550000000000001</v>
      </c>
      <c r="F1965" s="5">
        <v>0.33900000000000002</v>
      </c>
    </row>
    <row r="1966" spans="2:6" x14ac:dyDescent="0.2">
      <c r="B1966" s="9" t="s">
        <v>1058</v>
      </c>
      <c r="C1966" s="15" t="s">
        <v>1059</v>
      </c>
      <c r="D1966" s="12" t="str">
        <f>"0013-9165"</f>
        <v>0013-9165</v>
      </c>
      <c r="E1966" s="5">
        <v>6.2220000000000004</v>
      </c>
      <c r="F1966" s="5">
        <v>0.90600000000000003</v>
      </c>
    </row>
    <row r="1967" spans="2:6" x14ac:dyDescent="0.2">
      <c r="B1967" s="9" t="s">
        <v>1060</v>
      </c>
      <c r="C1967" s="15" t="s">
        <v>1061</v>
      </c>
      <c r="D1967" s="12" t="str">
        <f>"1448-2517"</f>
        <v>1448-2517</v>
      </c>
      <c r="E1967" s="5">
        <v>3.0880000000000001</v>
      </c>
      <c r="F1967" s="5">
        <v>0.54200000000000004</v>
      </c>
    </row>
    <row r="1968" spans="2:6" x14ac:dyDescent="0.2">
      <c r="B1968" s="9" t="s">
        <v>7158</v>
      </c>
      <c r="C1968" s="15" t="s">
        <v>4088</v>
      </c>
      <c r="D1968" s="12" t="str">
        <f>"1610-3653"</f>
        <v>1610-3653</v>
      </c>
      <c r="E1968" s="5">
        <v>9.0269999999999992</v>
      </c>
      <c r="F1968" s="5">
        <v>0.92700000000000005</v>
      </c>
    </row>
    <row r="1969" spans="2:6" x14ac:dyDescent="0.2">
      <c r="B1969" s="9" t="s">
        <v>7159</v>
      </c>
      <c r="C1969" s="15" t="s">
        <v>4089</v>
      </c>
      <c r="D1969" s="12" t="str">
        <f>"1352-8505"</f>
        <v>1352-8505</v>
      </c>
      <c r="E1969" s="5">
        <v>1.119</v>
      </c>
      <c r="F1969" s="5">
        <v>0.32</v>
      </c>
    </row>
    <row r="1970" spans="2:6" x14ac:dyDescent="0.2">
      <c r="B1970" s="9" t="s">
        <v>7160</v>
      </c>
      <c r="C1970" s="15" t="s">
        <v>4090</v>
      </c>
      <c r="D1970" s="12" t="str">
        <f>"0269-4042"</f>
        <v>0269-4042</v>
      </c>
      <c r="E1970" s="5">
        <v>4.609</v>
      </c>
      <c r="F1970" s="5">
        <v>0.85599999999999998</v>
      </c>
    </row>
    <row r="1971" spans="2:6" x14ac:dyDescent="0.2">
      <c r="B1971" s="9" t="s">
        <v>1062</v>
      </c>
      <c r="C1971" s="15" t="s">
        <v>1063</v>
      </c>
      <c r="D1971" s="12" t="str">
        <f>"1476-069X"</f>
        <v>1476-069X</v>
      </c>
      <c r="E1971" s="5">
        <v>5.984</v>
      </c>
      <c r="F1971" s="5">
        <v>0.92200000000000004</v>
      </c>
    </row>
    <row r="1972" spans="2:6" x14ac:dyDescent="0.2">
      <c r="B1972" s="9" t="s">
        <v>7161</v>
      </c>
      <c r="C1972" s="15" t="s">
        <v>4091</v>
      </c>
      <c r="D1972" s="12" t="str">
        <f>"0091-6765"</f>
        <v>0091-6765</v>
      </c>
      <c r="E1972" s="5">
        <v>9.0310000000000006</v>
      </c>
      <c r="F1972" s="5">
        <v>0.96799999999999997</v>
      </c>
    </row>
    <row r="1973" spans="2:6" x14ac:dyDescent="0.2">
      <c r="B1973" s="9" t="s">
        <v>9221</v>
      </c>
      <c r="C1973" s="15" t="s">
        <v>9222</v>
      </c>
      <c r="D1973" s="12" t="str">
        <f>"1342-078X"</f>
        <v>1342-078X</v>
      </c>
      <c r="E1973" s="5">
        <v>3.6739999999999999</v>
      </c>
      <c r="F1973" s="5">
        <v>0.75800000000000001</v>
      </c>
    </row>
    <row r="1974" spans="2:6" x14ac:dyDescent="0.2">
      <c r="B1974" s="9" t="s">
        <v>5229</v>
      </c>
      <c r="C1974" s="15" t="s">
        <v>5229</v>
      </c>
      <c r="D1974" s="12" t="str">
        <f>"1180-4009"</f>
        <v>1180-4009</v>
      </c>
      <c r="E1974" s="5">
        <v>1.9</v>
      </c>
      <c r="F1974" s="5">
        <v>0.624</v>
      </c>
    </row>
    <row r="1975" spans="2:6" x14ac:dyDescent="0.2">
      <c r="B1975" s="9" t="s">
        <v>5223</v>
      </c>
      <c r="C1975" s="15" t="s">
        <v>4092</v>
      </c>
      <c r="D1975" s="12" t="str">
        <f>"1462-2912"</f>
        <v>1462-2912</v>
      </c>
      <c r="E1975" s="5">
        <v>5.4909999999999997</v>
      </c>
      <c r="F1975" s="5">
        <v>0.78500000000000003</v>
      </c>
    </row>
    <row r="1976" spans="2:6" x14ac:dyDescent="0.2">
      <c r="B1976" s="9" t="s">
        <v>9223</v>
      </c>
      <c r="C1976" s="15" t="s">
        <v>9224</v>
      </c>
      <c r="D1976" s="12" t="str">
        <f>"2524-6372"</f>
        <v>2524-6372</v>
      </c>
      <c r="E1976" s="5">
        <v>5.2859999999999996</v>
      </c>
      <c r="F1976" s="5">
        <v>0.81100000000000005</v>
      </c>
    </row>
    <row r="1977" spans="2:6" x14ac:dyDescent="0.2">
      <c r="B1977" s="9" t="s">
        <v>1064</v>
      </c>
      <c r="C1977" s="15" t="s">
        <v>1065</v>
      </c>
      <c r="D1977" s="12" t="str">
        <f>"1364-8152"</f>
        <v>1364-8152</v>
      </c>
      <c r="E1977" s="5">
        <v>5.2880000000000003</v>
      </c>
      <c r="F1977" s="5">
        <v>0.90700000000000003</v>
      </c>
    </row>
    <row r="1978" spans="2:6" x14ac:dyDescent="0.2">
      <c r="B1978" s="9" t="s">
        <v>5224</v>
      </c>
      <c r="C1978" s="15" t="s">
        <v>4093</v>
      </c>
      <c r="D1978" s="12" t="str">
        <f>"0893-6692"</f>
        <v>0893-6692</v>
      </c>
      <c r="E1978" s="5">
        <v>3.2160000000000002</v>
      </c>
      <c r="F1978" s="5">
        <v>0.53800000000000003</v>
      </c>
    </row>
    <row r="1979" spans="2:6" x14ac:dyDescent="0.2">
      <c r="B1979" s="9" t="s">
        <v>5225</v>
      </c>
      <c r="C1979" s="15" t="s">
        <v>4094</v>
      </c>
      <c r="D1979" s="12" t="str">
        <f>"0013-9351"</f>
        <v>0013-9351</v>
      </c>
      <c r="E1979" s="5">
        <v>6.4980000000000002</v>
      </c>
      <c r="F1979" s="5">
        <v>0.94199999999999995</v>
      </c>
    </row>
    <row r="1980" spans="2:6" x14ac:dyDescent="0.2">
      <c r="B1980" s="9" t="s">
        <v>9225</v>
      </c>
      <c r="C1980" s="15" t="s">
        <v>9226</v>
      </c>
      <c r="D1980" s="12" t="str">
        <f>"2051-8153"</f>
        <v>2051-8153</v>
      </c>
      <c r="E1980" s="5">
        <v>8.1310000000000002</v>
      </c>
      <c r="F1980" s="5">
        <v>0.92300000000000004</v>
      </c>
    </row>
    <row r="1981" spans="2:6" x14ac:dyDescent="0.2">
      <c r="B1981" s="9" t="s">
        <v>9227</v>
      </c>
      <c r="C1981" s="15" t="s">
        <v>9228</v>
      </c>
      <c r="D1981" s="12" t="str">
        <f>"2050-7887"</f>
        <v>2050-7887</v>
      </c>
      <c r="E1981" s="5">
        <v>4.2380000000000004</v>
      </c>
      <c r="F1981" s="5">
        <v>0.75900000000000001</v>
      </c>
    </row>
    <row r="1982" spans="2:6" x14ac:dyDescent="0.2">
      <c r="B1982" s="9" t="s">
        <v>9229</v>
      </c>
      <c r="C1982" s="15" t="s">
        <v>9230</v>
      </c>
      <c r="D1982" s="12" t="str">
        <f>"2352-1864"</f>
        <v>2352-1864</v>
      </c>
      <c r="E1982" s="5">
        <v>5.2629999999999999</v>
      </c>
      <c r="F1982" s="5">
        <v>0.81</v>
      </c>
    </row>
    <row r="1983" spans="2:6" x14ac:dyDescent="0.2">
      <c r="B1983" s="9" t="s">
        <v>5226</v>
      </c>
      <c r="C1983" s="15" t="s">
        <v>4095</v>
      </c>
      <c r="D1983" s="12" t="str">
        <f>"1520-4081"</f>
        <v>1520-4081</v>
      </c>
      <c r="E1983" s="5">
        <v>4.1189999999999998</v>
      </c>
      <c r="F1983" s="5">
        <v>0.79400000000000004</v>
      </c>
    </row>
    <row r="1984" spans="2:6" x14ac:dyDescent="0.2">
      <c r="B1984" s="9" t="s">
        <v>5227</v>
      </c>
      <c r="C1984" s="15" t="s">
        <v>4096</v>
      </c>
      <c r="D1984" s="12" t="str">
        <f>"0730-7268"</f>
        <v>0730-7268</v>
      </c>
      <c r="E1984" s="5">
        <v>3.742</v>
      </c>
      <c r="F1984" s="5">
        <v>0.61299999999999999</v>
      </c>
    </row>
    <row r="1985" spans="2:6" x14ac:dyDescent="0.2">
      <c r="B1985" s="9" t="s">
        <v>5228</v>
      </c>
      <c r="C1985" s="15" t="s">
        <v>4097</v>
      </c>
      <c r="D1985" s="12" t="str">
        <f>"1382-6689"</f>
        <v>1382-6689</v>
      </c>
      <c r="E1985" s="5">
        <v>4.8600000000000003</v>
      </c>
      <c r="F1985" s="5">
        <v>0.80600000000000005</v>
      </c>
    </row>
    <row r="1986" spans="2:6" x14ac:dyDescent="0.2">
      <c r="B1986" s="9" t="s">
        <v>9231</v>
      </c>
      <c r="C1986" s="15" t="s">
        <v>9232</v>
      </c>
      <c r="D1986" s="12" t="str">
        <f>"1758-2229"</f>
        <v>1758-2229</v>
      </c>
      <c r="E1986" s="5">
        <v>3.5409999999999999</v>
      </c>
      <c r="F1986" s="5">
        <v>0.58599999999999997</v>
      </c>
    </row>
    <row r="1987" spans="2:6" x14ac:dyDescent="0.2">
      <c r="B1987" s="9" t="s">
        <v>9233</v>
      </c>
      <c r="C1987" s="15" t="s">
        <v>9234</v>
      </c>
      <c r="D1987" s="12" t="str">
        <f>"2639-5932"</f>
        <v>2639-5932</v>
      </c>
      <c r="E1987" s="5">
        <v>1.7370000000000001</v>
      </c>
      <c r="F1987" s="5">
        <v>0.183</v>
      </c>
    </row>
    <row r="1988" spans="2:6" x14ac:dyDescent="0.2">
      <c r="B1988" s="9" t="s">
        <v>5230</v>
      </c>
      <c r="C1988" s="15" t="s">
        <v>4098</v>
      </c>
      <c r="D1988" s="12" t="str">
        <f>"0141-0229"</f>
        <v>0141-0229</v>
      </c>
      <c r="E1988" s="5">
        <v>3.4929999999999999</v>
      </c>
      <c r="F1988" s="5">
        <v>0.58899999999999997</v>
      </c>
    </row>
    <row r="1989" spans="2:6" x14ac:dyDescent="0.2">
      <c r="B1989" s="9" t="s">
        <v>9235</v>
      </c>
      <c r="C1989" s="15" t="s">
        <v>9236</v>
      </c>
      <c r="D1989" s="12" t="str">
        <f>"1755-4365"</f>
        <v>1755-4365</v>
      </c>
      <c r="E1989" s="5">
        <v>4.3959999999999999</v>
      </c>
      <c r="F1989" s="5">
        <v>0.69599999999999995</v>
      </c>
    </row>
    <row r="1990" spans="2:6" x14ac:dyDescent="0.2">
      <c r="B1990" s="9" t="s">
        <v>9237</v>
      </c>
      <c r="C1990" s="15" t="s">
        <v>9238</v>
      </c>
      <c r="D1990" s="12" t="str">
        <f>"2092-7193"</f>
        <v>2092-7193</v>
      </c>
      <c r="E1990" s="5">
        <v>3.282</v>
      </c>
      <c r="F1990" s="5">
        <v>0.70599999999999996</v>
      </c>
    </row>
    <row r="1991" spans="2:6" x14ac:dyDescent="0.2">
      <c r="B1991" s="9" t="s">
        <v>5231</v>
      </c>
      <c r="C1991" s="15" t="s">
        <v>4099</v>
      </c>
      <c r="D1991" s="12" t="str">
        <f>"0950-2688"</f>
        <v>0950-2688</v>
      </c>
      <c r="E1991" s="5">
        <v>2.4510000000000001</v>
      </c>
      <c r="F1991" s="5">
        <v>0.48799999999999999</v>
      </c>
    </row>
    <row r="1992" spans="2:6" x14ac:dyDescent="0.2">
      <c r="B1992" s="9" t="s">
        <v>9239</v>
      </c>
      <c r="C1992" s="15" t="s">
        <v>9240</v>
      </c>
      <c r="D1992" s="12" t="str">
        <f>"1210-7913"</f>
        <v>1210-7913</v>
      </c>
      <c r="E1992" s="5">
        <v>0.44400000000000001</v>
      </c>
      <c r="F1992" s="5">
        <v>2.1999999999999999E-2</v>
      </c>
    </row>
    <row r="1993" spans="2:6" x14ac:dyDescent="0.2">
      <c r="B1993" s="9" t="s">
        <v>5233</v>
      </c>
      <c r="C1993" s="15" t="s">
        <v>5233</v>
      </c>
      <c r="D1993" s="12" t="str">
        <f>"1044-3983"</f>
        <v>1044-3983</v>
      </c>
      <c r="E1993" s="5">
        <v>4.8220000000000001</v>
      </c>
      <c r="F1993" s="5">
        <v>0.86699999999999999</v>
      </c>
    </row>
    <row r="1994" spans="2:6" x14ac:dyDescent="0.2">
      <c r="B1994" s="9" t="s">
        <v>1066</v>
      </c>
      <c r="C1994" s="15" t="s">
        <v>1067</v>
      </c>
      <c r="D1994" s="12" t="str">
        <f>"1120-9763"</f>
        <v>1120-9763</v>
      </c>
      <c r="E1994" s="5">
        <v>1.901</v>
      </c>
      <c r="F1994" s="5">
        <v>0.311</v>
      </c>
    </row>
    <row r="1995" spans="2:6" x14ac:dyDescent="0.2">
      <c r="B1995" s="9" t="s">
        <v>9241</v>
      </c>
      <c r="C1995" s="15" t="s">
        <v>9242</v>
      </c>
      <c r="D1995" s="12" t="str">
        <f>"2045-7960"</f>
        <v>2045-7960</v>
      </c>
      <c r="E1995" s="5">
        <v>6.8920000000000003</v>
      </c>
      <c r="F1995" s="5">
        <v>0.92100000000000004</v>
      </c>
    </row>
    <row r="1996" spans="2:6" x14ac:dyDescent="0.2">
      <c r="B1996" s="9" t="s">
        <v>5232</v>
      </c>
      <c r="C1996" s="15" t="s">
        <v>4100</v>
      </c>
      <c r="D1996" s="12" t="str">
        <f>"0193-936X"</f>
        <v>0193-936X</v>
      </c>
      <c r="E1996" s="5">
        <v>6.2220000000000004</v>
      </c>
      <c r="F1996" s="5">
        <v>0.92800000000000005</v>
      </c>
    </row>
    <row r="1997" spans="2:6" x14ac:dyDescent="0.2">
      <c r="B1997" s="9" t="s">
        <v>9243</v>
      </c>
      <c r="C1997" s="15" t="s">
        <v>9244</v>
      </c>
      <c r="D1997" s="12" t="str">
        <f>"1756-8935"</f>
        <v>1756-8935</v>
      </c>
      <c r="E1997" s="5">
        <v>4.9539999999999997</v>
      </c>
      <c r="F1997" s="5">
        <v>0.77100000000000002</v>
      </c>
    </row>
    <row r="1998" spans="2:6" x14ac:dyDescent="0.2">
      <c r="B1998" s="9" t="s">
        <v>9245</v>
      </c>
      <c r="C1998" s="15" t="s">
        <v>9246</v>
      </c>
      <c r="D1998" s="12" t="str">
        <f>"1559-2294"</f>
        <v>1559-2294</v>
      </c>
      <c r="E1998" s="5">
        <v>4.5279999999999996</v>
      </c>
      <c r="F1998" s="5">
        <v>0.70899999999999996</v>
      </c>
    </row>
    <row r="1999" spans="2:6" x14ac:dyDescent="0.2">
      <c r="B1999" s="9" t="s">
        <v>9247</v>
      </c>
      <c r="C1999" s="15" t="s">
        <v>9248</v>
      </c>
      <c r="D1999" s="12" t="str">
        <f>"1750-1911"</f>
        <v>1750-1911</v>
      </c>
      <c r="E1999" s="5">
        <v>4.7779999999999996</v>
      </c>
      <c r="F1999" s="5">
        <v>0.74299999999999999</v>
      </c>
    </row>
    <row r="2000" spans="2:6" x14ac:dyDescent="0.2">
      <c r="B2000" s="9" t="s">
        <v>5234</v>
      </c>
      <c r="C2000" s="15" t="s">
        <v>5234</v>
      </c>
      <c r="D2000" s="12" t="str">
        <f>"0013-9580"</f>
        <v>0013-9580</v>
      </c>
      <c r="E2000" s="5">
        <v>5.8639999999999999</v>
      </c>
      <c r="F2000" s="5">
        <v>0.85099999999999998</v>
      </c>
    </row>
    <row r="2001" spans="2:6" x14ac:dyDescent="0.2">
      <c r="B2001" s="9" t="s">
        <v>5235</v>
      </c>
      <c r="C2001" s="15" t="s">
        <v>4101</v>
      </c>
      <c r="D2001" s="12" t="str">
        <f>"1525-5050"</f>
        <v>1525-5050</v>
      </c>
      <c r="E2001" s="5">
        <v>2.9369999999999998</v>
      </c>
      <c r="F2001" s="5">
        <v>0.52800000000000002</v>
      </c>
    </row>
    <row r="2002" spans="2:6" x14ac:dyDescent="0.2">
      <c r="B2002" s="9" t="s">
        <v>9249</v>
      </c>
      <c r="C2002" s="15" t="s">
        <v>9250</v>
      </c>
      <c r="D2002" s="12" t="str">
        <f>"1535-7597"</f>
        <v>1535-7597</v>
      </c>
      <c r="E2002" s="5">
        <v>7.5</v>
      </c>
      <c r="F2002" s="5">
        <v>0.91300000000000003</v>
      </c>
    </row>
    <row r="2003" spans="2:6" x14ac:dyDescent="0.2">
      <c r="B2003" s="9" t="s">
        <v>5236</v>
      </c>
      <c r="C2003" s="15" t="s">
        <v>4102</v>
      </c>
      <c r="D2003" s="12" t="str">
        <f>"0920-1211"</f>
        <v>0920-1211</v>
      </c>
      <c r="E2003" s="5">
        <v>3.0449999999999999</v>
      </c>
      <c r="F2003" s="5">
        <v>0.442</v>
      </c>
    </row>
    <row r="2004" spans="2:6" x14ac:dyDescent="0.2">
      <c r="B2004" s="9" t="s">
        <v>5237</v>
      </c>
      <c r="C2004" s="15" t="s">
        <v>4103</v>
      </c>
      <c r="D2004" s="12" t="str">
        <f>"1294-9361"</f>
        <v>1294-9361</v>
      </c>
      <c r="E2004" s="5">
        <v>1.819</v>
      </c>
      <c r="F2004" s="5">
        <v>0.16300000000000001</v>
      </c>
    </row>
    <row r="2005" spans="2:6" x14ac:dyDescent="0.2">
      <c r="B2005" s="9" t="s">
        <v>9251</v>
      </c>
      <c r="C2005" s="15" t="s">
        <v>9252</v>
      </c>
      <c r="D2005" s="12" t="str">
        <f>"2662-4400"</f>
        <v>2662-4400</v>
      </c>
      <c r="E2005" s="5">
        <v>4.4550000000000001</v>
      </c>
      <c r="F2005" s="5">
        <v>0.85899999999999999</v>
      </c>
    </row>
    <row r="2006" spans="2:6" x14ac:dyDescent="0.2">
      <c r="B2006" s="9" t="s">
        <v>9253</v>
      </c>
      <c r="C2006" s="15" t="s">
        <v>9254</v>
      </c>
      <c r="D2006" s="12" t="str">
        <f>"1878-5077"</f>
        <v>1878-5077</v>
      </c>
      <c r="E2006" s="5">
        <v>6.5430000000000001</v>
      </c>
      <c r="F2006" s="5">
        <v>0.82099999999999995</v>
      </c>
    </row>
    <row r="2007" spans="2:6" x14ac:dyDescent="0.2">
      <c r="B2007" s="9" t="s">
        <v>5238</v>
      </c>
      <c r="C2007" s="15" t="s">
        <v>4104</v>
      </c>
      <c r="D2007" s="12" t="str">
        <f>"0957-7734"</f>
        <v>0957-7734</v>
      </c>
      <c r="E2007" s="5">
        <v>1.0629999999999999</v>
      </c>
      <c r="F2007" s="5">
        <v>0.35599999999999998</v>
      </c>
    </row>
    <row r="2008" spans="2:6" x14ac:dyDescent="0.2">
      <c r="B2008" s="9" t="s">
        <v>5239</v>
      </c>
      <c r="C2008" s="15" t="s">
        <v>4105</v>
      </c>
      <c r="D2008" s="12" t="str">
        <f>"0425-1644"</f>
        <v>0425-1644</v>
      </c>
      <c r="E2008" s="5">
        <v>2.8879999999999999</v>
      </c>
      <c r="F2008" s="5">
        <v>0.89</v>
      </c>
    </row>
    <row r="2009" spans="2:6" x14ac:dyDescent="0.2">
      <c r="B2009" s="9" t="s">
        <v>5240</v>
      </c>
      <c r="C2009" s="15" t="s">
        <v>5240</v>
      </c>
      <c r="D2009" s="12" t="str">
        <f>"0014-0139"</f>
        <v>0014-0139</v>
      </c>
      <c r="E2009" s="5">
        <v>2.778</v>
      </c>
      <c r="F2009" s="5">
        <v>0.50600000000000001</v>
      </c>
    </row>
    <row r="2010" spans="2:6" x14ac:dyDescent="0.2">
      <c r="B2010" s="9" t="s">
        <v>9255</v>
      </c>
      <c r="C2010" s="15" t="s">
        <v>9255</v>
      </c>
      <c r="D2010" s="12" t="str">
        <f>"0174-0008"</f>
        <v>0174-0008</v>
      </c>
      <c r="E2010" s="5">
        <v>0.48899999999999999</v>
      </c>
      <c r="F2010" s="5">
        <v>4.4999999999999998E-2</v>
      </c>
    </row>
    <row r="2011" spans="2:6" x14ac:dyDescent="0.2">
      <c r="B2011" s="9" t="s">
        <v>9256</v>
      </c>
      <c r="C2011" s="15" t="s">
        <v>9257</v>
      </c>
      <c r="D2011" s="12" t="str">
        <f>"1292-8100"</f>
        <v>1292-8100</v>
      </c>
      <c r="E2011" s="5">
        <v>0.745</v>
      </c>
      <c r="F2011" s="5">
        <v>9.6000000000000002E-2</v>
      </c>
    </row>
    <row r="2012" spans="2:6" x14ac:dyDescent="0.2">
      <c r="B2012" s="9" t="s">
        <v>9258</v>
      </c>
      <c r="C2012" s="15" t="s">
        <v>9259</v>
      </c>
      <c r="D2012" s="12" t="str">
        <f>"2055-5822"</f>
        <v>2055-5822</v>
      </c>
      <c r="E2012" s="5">
        <v>4.4109999999999996</v>
      </c>
      <c r="F2012" s="5">
        <v>0.66</v>
      </c>
    </row>
    <row r="2013" spans="2:6" x14ac:dyDescent="0.2">
      <c r="B2013" s="9" t="s">
        <v>9260</v>
      </c>
      <c r="C2013" s="15" t="s">
        <v>9261</v>
      </c>
      <c r="D2013" s="12" t="str">
        <f>"2059-7029"</f>
        <v>2059-7029</v>
      </c>
      <c r="E2013" s="5">
        <v>6.54</v>
      </c>
      <c r="F2013" s="5">
        <v>0.78</v>
      </c>
    </row>
    <row r="2014" spans="2:6" x14ac:dyDescent="0.2">
      <c r="B2014" s="9" t="s">
        <v>9262</v>
      </c>
      <c r="C2014" s="15" t="s">
        <v>9263</v>
      </c>
      <c r="D2014" s="12" t="str">
        <f>"1612-9059"</f>
        <v>1612-9059</v>
      </c>
      <c r="E2014" s="5">
        <v>4.2300000000000004</v>
      </c>
      <c r="F2014" s="5">
        <v>0.57599999999999996</v>
      </c>
    </row>
    <row r="2015" spans="2:6" x14ac:dyDescent="0.2">
      <c r="B2015" s="9" t="s">
        <v>5241</v>
      </c>
      <c r="C2015" s="15" t="s">
        <v>9264</v>
      </c>
      <c r="D2015" s="12" t="str">
        <f>"0071-1365"</f>
        <v>0071-1365</v>
      </c>
      <c r="E2015" s="5">
        <v>8</v>
      </c>
      <c r="F2015" s="5">
        <v>0.86799999999999999</v>
      </c>
    </row>
    <row r="2016" spans="2:6" x14ac:dyDescent="0.2">
      <c r="B2016" s="9" t="s">
        <v>9265</v>
      </c>
      <c r="C2016" s="15" t="s">
        <v>9266</v>
      </c>
      <c r="D2016" s="12" t="str">
        <f>"0210-9395"</f>
        <v>0210-9395</v>
      </c>
      <c r="E2016" s="5">
        <v>0.67300000000000004</v>
      </c>
      <c r="F2016" s="5">
        <v>8.5999999999999993E-2</v>
      </c>
    </row>
    <row r="2017" spans="2:6" x14ac:dyDescent="0.2">
      <c r="B2017" s="9" t="s">
        <v>1068</v>
      </c>
      <c r="C2017" s="15" t="s">
        <v>1069</v>
      </c>
      <c r="D2017" s="12" t="str">
        <f>"1050-8422"</f>
        <v>1050-8422</v>
      </c>
      <c r="E2017" s="5">
        <v>2.0859999999999999</v>
      </c>
      <c r="F2017" s="5">
        <v>0.67900000000000005</v>
      </c>
    </row>
    <row r="2018" spans="2:6" x14ac:dyDescent="0.2">
      <c r="B2018" s="9" t="s">
        <v>9267</v>
      </c>
      <c r="C2018" s="15" t="s">
        <v>9268</v>
      </c>
      <c r="D2018" s="12" t="str">
        <f>"1388-1957"</f>
        <v>1388-1957</v>
      </c>
      <c r="E2018" s="5">
        <v>4.4489999999999998</v>
      </c>
      <c r="F2018" s="5">
        <v>0.94599999999999995</v>
      </c>
    </row>
    <row r="2019" spans="2:6" x14ac:dyDescent="0.2">
      <c r="B2019" s="9" t="s">
        <v>1070</v>
      </c>
      <c r="C2019" s="15" t="s">
        <v>1071</v>
      </c>
      <c r="D2019" s="12" t="str">
        <f>"0935-7335"</f>
        <v>0935-7335</v>
      </c>
      <c r="E2019" s="5">
        <v>0.47399999999999998</v>
      </c>
      <c r="F2019" s="5">
        <v>0.125</v>
      </c>
    </row>
    <row r="2020" spans="2:6" x14ac:dyDescent="0.2">
      <c r="B2020" s="9" t="s">
        <v>9269</v>
      </c>
      <c r="C2020" s="15" t="s">
        <v>9270</v>
      </c>
      <c r="D2020" s="12" t="str">
        <f>"1021-6790"</f>
        <v>1021-6790</v>
      </c>
      <c r="E2020" s="5">
        <v>0.72499999999999998</v>
      </c>
      <c r="F2020" s="5">
        <v>3.7999999999999999E-2</v>
      </c>
    </row>
    <row r="2021" spans="2:6" x14ac:dyDescent="0.2">
      <c r="B2021" s="9" t="s">
        <v>5242</v>
      </c>
      <c r="C2021" s="15" t="s">
        <v>4106</v>
      </c>
      <c r="D2021" s="12" t="str">
        <f>"1049-510X"</f>
        <v>1049-510X</v>
      </c>
      <c r="E2021" s="5">
        <v>1.847</v>
      </c>
      <c r="F2021" s="5">
        <v>0.29399999999999998</v>
      </c>
    </row>
    <row r="2022" spans="2:6" x14ac:dyDescent="0.2">
      <c r="B2022" s="9" t="s">
        <v>5243</v>
      </c>
      <c r="C2022" s="15" t="s">
        <v>4107</v>
      </c>
      <c r="D2022" s="12" t="str">
        <f>"1355-7858"</f>
        <v>1355-7858</v>
      </c>
      <c r="E2022" s="5">
        <v>2.7719999999999998</v>
      </c>
      <c r="F2022" s="5">
        <v>0.75</v>
      </c>
    </row>
    <row r="2023" spans="2:6" x14ac:dyDescent="0.2">
      <c r="B2023" s="9" t="s">
        <v>1072</v>
      </c>
      <c r="C2023" s="15" t="s">
        <v>1072</v>
      </c>
      <c r="D2023" s="12" t="str">
        <f>"0091-2131"</f>
        <v>0091-2131</v>
      </c>
      <c r="E2023" s="5">
        <v>1.302</v>
      </c>
      <c r="F2023" s="5">
        <v>0.45500000000000002</v>
      </c>
    </row>
    <row r="2024" spans="2:6" x14ac:dyDescent="0.2">
      <c r="B2024" s="9" t="s">
        <v>1073</v>
      </c>
      <c r="C2024" s="15" t="s">
        <v>1074</v>
      </c>
      <c r="D2024" s="12" t="str">
        <f>"1022-6877"</f>
        <v>1022-6877</v>
      </c>
      <c r="E2024" s="5">
        <v>3.0150000000000001</v>
      </c>
      <c r="F2024" s="5">
        <v>0.51200000000000001</v>
      </c>
    </row>
    <row r="2025" spans="2:6" x14ac:dyDescent="0.2">
      <c r="B2025" s="9" t="s">
        <v>9271</v>
      </c>
      <c r="C2025" s="15" t="s">
        <v>9272</v>
      </c>
      <c r="D2025" s="12" t="str">
        <f>"1879-7296"</f>
        <v>1879-7296</v>
      </c>
      <c r="E2025" s="5">
        <v>2.08</v>
      </c>
      <c r="F2025" s="5">
        <v>0.5</v>
      </c>
    </row>
    <row r="2026" spans="2:6" x14ac:dyDescent="0.2">
      <c r="B2026" s="9" t="s">
        <v>5244</v>
      </c>
      <c r="C2026" s="15" t="s">
        <v>4108</v>
      </c>
      <c r="D2026" s="12" t="str">
        <f>"0937-4477"</f>
        <v>0937-4477</v>
      </c>
      <c r="E2026" s="5">
        <v>2.5030000000000001</v>
      </c>
      <c r="F2026" s="5">
        <v>0.68200000000000005</v>
      </c>
    </row>
    <row r="2027" spans="2:6" x14ac:dyDescent="0.2">
      <c r="B2027" s="9" t="s">
        <v>5245</v>
      </c>
      <c r="C2027" s="15" t="s">
        <v>4109</v>
      </c>
      <c r="D2027" s="12" t="str">
        <f>"0940-1334"</f>
        <v>0940-1334</v>
      </c>
      <c r="E2027" s="5">
        <v>5.27</v>
      </c>
      <c r="F2027" s="5">
        <v>0.85199999999999998</v>
      </c>
    </row>
    <row r="2028" spans="2:6" x14ac:dyDescent="0.2">
      <c r="B2028" s="9" t="s">
        <v>9273</v>
      </c>
      <c r="C2028" s="15" t="s">
        <v>9274</v>
      </c>
      <c r="D2028" s="12" t="str">
        <f>"1687-4722"</f>
        <v>1687-4722</v>
      </c>
      <c r="E2028" s="5">
        <v>1.5580000000000001</v>
      </c>
      <c r="F2028" s="5">
        <v>0.38700000000000001</v>
      </c>
    </row>
    <row r="2029" spans="2:6" x14ac:dyDescent="0.2">
      <c r="B2029" s="9" t="s">
        <v>5246</v>
      </c>
      <c r="C2029" s="15" t="s">
        <v>4110</v>
      </c>
      <c r="D2029" s="12" t="str">
        <f>"0175-7571"</f>
        <v>0175-7571</v>
      </c>
      <c r="E2029" s="5">
        <v>1.7330000000000001</v>
      </c>
      <c r="F2029" s="5">
        <v>0.155</v>
      </c>
    </row>
    <row r="2030" spans="2:6" x14ac:dyDescent="0.2">
      <c r="B2030" s="9" t="s">
        <v>1075</v>
      </c>
      <c r="C2030" s="15" t="s">
        <v>1076</v>
      </c>
      <c r="D2030" s="12" t="str">
        <f>"1473-2262"</f>
        <v>1473-2262</v>
      </c>
      <c r="E2030" s="5">
        <v>3.9420000000000002</v>
      </c>
      <c r="F2030" s="5">
        <v>0.81499999999999995</v>
      </c>
    </row>
    <row r="2031" spans="2:6" x14ac:dyDescent="0.2">
      <c r="B2031" s="9" t="s">
        <v>1077</v>
      </c>
      <c r="C2031" s="15" t="s">
        <v>1078</v>
      </c>
      <c r="D2031" s="12" t="str">
        <f>"1018-8827"</f>
        <v>1018-8827</v>
      </c>
      <c r="E2031" s="5">
        <v>4.7850000000000001</v>
      </c>
      <c r="F2031" s="5">
        <v>0.93</v>
      </c>
    </row>
    <row r="2032" spans="2:6" x14ac:dyDescent="0.2">
      <c r="B2032" s="9" t="s">
        <v>5247</v>
      </c>
      <c r="C2032" s="15" t="s">
        <v>4111</v>
      </c>
      <c r="D2032" s="12" t="str">
        <f>"1952-4005"</f>
        <v>1952-4005</v>
      </c>
      <c r="E2032" s="5">
        <v>2.7370000000000001</v>
      </c>
      <c r="F2032" s="5">
        <v>0.28699999999999998</v>
      </c>
    </row>
    <row r="2033" spans="2:6" x14ac:dyDescent="0.2">
      <c r="B2033" s="9" t="s">
        <v>1079</v>
      </c>
      <c r="C2033" s="15" t="s">
        <v>1080</v>
      </c>
      <c r="D2033" s="12" t="str">
        <f>"1072-4133"</f>
        <v>1072-4133</v>
      </c>
      <c r="E2033" s="5">
        <v>4.5199999999999996</v>
      </c>
      <c r="F2033" s="5">
        <v>0.82299999999999995</v>
      </c>
    </row>
    <row r="2034" spans="2:6" x14ac:dyDescent="0.2">
      <c r="B2034" s="9" t="s">
        <v>9275</v>
      </c>
      <c r="C2034" s="15" t="s">
        <v>9276</v>
      </c>
      <c r="D2034" s="12" t="str">
        <f>"1878-7657"</f>
        <v>1878-7657</v>
      </c>
      <c r="E2034" s="5">
        <v>1.71</v>
      </c>
      <c r="F2034" s="5">
        <v>0.113</v>
      </c>
    </row>
    <row r="2035" spans="2:6" x14ac:dyDescent="0.2">
      <c r="B2035" s="9" t="s">
        <v>5248</v>
      </c>
      <c r="C2035" s="15" t="s">
        <v>4112</v>
      </c>
      <c r="D2035" s="12" t="str">
        <f>"0195-668X"</f>
        <v>0195-668X</v>
      </c>
      <c r="E2035" s="5">
        <v>29.983000000000001</v>
      </c>
      <c r="F2035" s="5">
        <v>0.99299999999999999</v>
      </c>
    </row>
    <row r="2036" spans="2:6" x14ac:dyDescent="0.2">
      <c r="B2036" s="9" t="s">
        <v>9277</v>
      </c>
      <c r="C2036" s="15" t="s">
        <v>9278</v>
      </c>
      <c r="D2036" s="12" t="str">
        <f>"2048-8726"</f>
        <v>2048-8726</v>
      </c>
      <c r="E2036" s="5">
        <v>4.6959999999999997</v>
      </c>
      <c r="F2036" s="5">
        <v>0.66700000000000004</v>
      </c>
    </row>
    <row r="2037" spans="2:6" x14ac:dyDescent="0.2">
      <c r="B2037" s="9" t="s">
        <v>9279</v>
      </c>
      <c r="C2037" s="15" t="s">
        <v>9280</v>
      </c>
      <c r="D2037" s="12" t="str">
        <f>"2047-2412"</f>
        <v>2047-2412</v>
      </c>
      <c r="E2037" s="5">
        <v>6.875</v>
      </c>
      <c r="F2037" s="5">
        <v>0.91700000000000004</v>
      </c>
    </row>
    <row r="2038" spans="2:6" x14ac:dyDescent="0.2">
      <c r="B2038" s="9" t="s">
        <v>9281</v>
      </c>
      <c r="C2038" s="15" t="s">
        <v>9282</v>
      </c>
      <c r="D2038" s="12" t="str">
        <f>"2055-6837"</f>
        <v>2055-6837</v>
      </c>
      <c r="E2038" s="5">
        <v>6.617</v>
      </c>
      <c r="F2038" s="5">
        <v>0.92</v>
      </c>
    </row>
    <row r="2039" spans="2:6" ht="25.5" x14ac:dyDescent="0.2">
      <c r="B2039" s="9" t="s">
        <v>9283</v>
      </c>
      <c r="C2039" s="15" t="s">
        <v>9284</v>
      </c>
      <c r="D2039" s="12" t="str">
        <f>"2058-5225"</f>
        <v>2058-5225</v>
      </c>
      <c r="E2039" s="5">
        <v>4.37</v>
      </c>
      <c r="F2039" s="5">
        <v>0.65200000000000002</v>
      </c>
    </row>
    <row r="2040" spans="2:6" x14ac:dyDescent="0.2">
      <c r="B2040" s="9" t="s">
        <v>5249</v>
      </c>
      <c r="C2040" s="15" t="s">
        <v>4113</v>
      </c>
      <c r="D2040" s="12" t="str">
        <f>"1520-765X"</f>
        <v>1520-765X</v>
      </c>
      <c r="E2040" s="5">
        <v>1.8029999999999999</v>
      </c>
      <c r="F2040" s="5">
        <v>0.16300000000000001</v>
      </c>
    </row>
    <row r="2041" spans="2:6" x14ac:dyDescent="0.2">
      <c r="B2041" s="9" t="s">
        <v>5250</v>
      </c>
      <c r="C2041" s="15" t="s">
        <v>4114</v>
      </c>
      <c r="D2041" s="12" t="str">
        <f>"0265-0215"</f>
        <v>0265-0215</v>
      </c>
      <c r="E2041" s="5">
        <v>4.33</v>
      </c>
      <c r="F2041" s="5">
        <v>0.72699999999999998</v>
      </c>
    </row>
    <row r="2042" spans="2:6" x14ac:dyDescent="0.2">
      <c r="B2042" s="9" t="s">
        <v>5251</v>
      </c>
      <c r="C2042" s="15" t="s">
        <v>4115</v>
      </c>
      <c r="D2042" s="12" t="str">
        <f>"1439-6319"</f>
        <v>1439-6319</v>
      </c>
      <c r="E2042" s="5">
        <v>3.0779999999999998</v>
      </c>
      <c r="F2042" s="5">
        <v>0.63600000000000001</v>
      </c>
    </row>
    <row r="2043" spans="2:6" x14ac:dyDescent="0.2">
      <c r="B2043" s="9" t="s">
        <v>5252</v>
      </c>
      <c r="C2043" s="15" t="s">
        <v>4116</v>
      </c>
      <c r="D2043" s="12" t="str">
        <f>"0959-8049"</f>
        <v>0959-8049</v>
      </c>
      <c r="E2043" s="5">
        <v>9.1620000000000008</v>
      </c>
      <c r="F2043" s="5">
        <v>0.86699999999999999</v>
      </c>
    </row>
    <row r="2044" spans="2:6" x14ac:dyDescent="0.2">
      <c r="B2044" s="9" t="s">
        <v>5253</v>
      </c>
      <c r="C2044" s="15" t="s">
        <v>4117</v>
      </c>
      <c r="D2044" s="12" t="str">
        <f>"0961-5423"</f>
        <v>0961-5423</v>
      </c>
      <c r="E2044" s="5">
        <v>2.52</v>
      </c>
      <c r="F2044" s="5">
        <v>0.81699999999999995</v>
      </c>
    </row>
    <row r="2045" spans="2:6" x14ac:dyDescent="0.2">
      <c r="B2045" s="9" t="s">
        <v>5254</v>
      </c>
      <c r="C2045" s="15" t="s">
        <v>4118</v>
      </c>
      <c r="D2045" s="12" t="str">
        <f>"0959-8278"</f>
        <v>0959-8278</v>
      </c>
      <c r="E2045" s="5">
        <v>2.4969999999999999</v>
      </c>
      <c r="F2045" s="5">
        <v>0.14099999999999999</v>
      </c>
    </row>
    <row r="2046" spans="2:6" x14ac:dyDescent="0.2">
      <c r="B2046" s="9" t="s">
        <v>5255</v>
      </c>
      <c r="C2046" s="15" t="s">
        <v>4119</v>
      </c>
      <c r="D2046" s="12" t="str">
        <f>"1010-7940"</f>
        <v>1010-7940</v>
      </c>
      <c r="E2046" s="5">
        <v>4.1909999999999998</v>
      </c>
      <c r="F2046" s="5">
        <v>0.81899999999999995</v>
      </c>
    </row>
    <row r="2047" spans="2:6" x14ac:dyDescent="0.2">
      <c r="B2047" s="9" t="s">
        <v>9285</v>
      </c>
      <c r="C2047" s="15" t="s">
        <v>9286</v>
      </c>
      <c r="D2047" s="12" t="str">
        <f>"1474-5151"</f>
        <v>1474-5151</v>
      </c>
      <c r="E2047" s="5">
        <v>3.9079999999999999</v>
      </c>
      <c r="F2047" s="5">
        <v>0.99199999999999999</v>
      </c>
    </row>
    <row r="2048" spans="2:6" x14ac:dyDescent="0.2">
      <c r="B2048" s="9" t="s">
        <v>5256</v>
      </c>
      <c r="C2048" s="15" t="s">
        <v>4120</v>
      </c>
      <c r="D2048" s="12" t="str">
        <f>"0171-9335"</f>
        <v>0171-9335</v>
      </c>
      <c r="E2048" s="5">
        <v>4.492</v>
      </c>
      <c r="F2048" s="5">
        <v>0.497</v>
      </c>
    </row>
    <row r="2049" spans="2:6" x14ac:dyDescent="0.2">
      <c r="B2049" s="9" t="s">
        <v>5257</v>
      </c>
      <c r="C2049" s="15" t="s">
        <v>4121</v>
      </c>
      <c r="D2049" s="12" t="str">
        <f>"0960-135X"</f>
        <v>0960-135X</v>
      </c>
      <c r="E2049" s="5">
        <v>4.6859999999999999</v>
      </c>
      <c r="F2049" s="5">
        <v>0.79600000000000004</v>
      </c>
    </row>
    <row r="2050" spans="2:6" x14ac:dyDescent="0.2">
      <c r="B2050" s="9" t="s">
        <v>5258</v>
      </c>
      <c r="C2050" s="15" t="s">
        <v>4122</v>
      </c>
      <c r="D2050" s="12" t="str">
        <f>"0934-9723"</f>
        <v>0934-9723</v>
      </c>
      <c r="E2050" s="5">
        <v>3.2669999999999999</v>
      </c>
      <c r="F2050" s="5">
        <v>0.44600000000000001</v>
      </c>
    </row>
    <row r="2051" spans="2:6" x14ac:dyDescent="0.2">
      <c r="B2051" s="9" t="s">
        <v>5259</v>
      </c>
      <c r="C2051" s="15" t="s">
        <v>4123</v>
      </c>
      <c r="D2051" s="12" t="str">
        <f>"0954-3007"</f>
        <v>0954-3007</v>
      </c>
      <c r="E2051" s="5">
        <v>4.016</v>
      </c>
      <c r="F2051" s="5">
        <v>0.56799999999999995</v>
      </c>
    </row>
    <row r="2052" spans="2:6" x14ac:dyDescent="0.2">
      <c r="B2052" s="9" t="s">
        <v>5260</v>
      </c>
      <c r="C2052" s="15" t="s">
        <v>4124</v>
      </c>
      <c r="D2052" s="12" t="str">
        <f>"0031-6970"</f>
        <v>0031-6970</v>
      </c>
      <c r="E2052" s="5">
        <v>2.9529999999999998</v>
      </c>
      <c r="F2052" s="5">
        <v>0.39300000000000002</v>
      </c>
    </row>
    <row r="2053" spans="2:6" x14ac:dyDescent="0.2">
      <c r="B2053" s="9" t="s">
        <v>5261</v>
      </c>
      <c r="C2053" s="15" t="s">
        <v>4125</v>
      </c>
      <c r="D2053" s="12" t="str">
        <f>"1362-5187"</f>
        <v>1362-5187</v>
      </c>
      <c r="E2053" s="5">
        <v>1.8480000000000001</v>
      </c>
      <c r="F2053" s="5">
        <v>0.29699999999999999</v>
      </c>
    </row>
    <row r="2054" spans="2:6" x14ac:dyDescent="0.2">
      <c r="B2054" s="9" t="s">
        <v>9287</v>
      </c>
      <c r="C2054" s="15" t="s">
        <v>9288</v>
      </c>
      <c r="D2054" s="12" t="str">
        <f>"1396-5883"</f>
        <v>1396-5883</v>
      </c>
      <c r="E2054" s="5">
        <v>2.355</v>
      </c>
      <c r="F2054" s="5">
        <v>0.53500000000000003</v>
      </c>
    </row>
    <row r="2055" spans="2:6" x14ac:dyDescent="0.2">
      <c r="B2055" s="9" t="s">
        <v>5262</v>
      </c>
      <c r="C2055" s="15" t="s">
        <v>4126</v>
      </c>
      <c r="D2055" s="12" t="str">
        <f>"1167-1122"</f>
        <v>1167-1122</v>
      </c>
      <c r="E2055" s="5">
        <v>3.3279999999999998</v>
      </c>
      <c r="F2055" s="5">
        <v>0.60299999999999998</v>
      </c>
    </row>
    <row r="2056" spans="2:6" x14ac:dyDescent="0.2">
      <c r="B2056" s="9" t="s">
        <v>9289</v>
      </c>
      <c r="C2056" s="15" t="s">
        <v>9290</v>
      </c>
      <c r="D2056" s="12" t="str">
        <f>"1740-5629"</f>
        <v>1740-5629</v>
      </c>
      <c r="E2056" s="5">
        <v>2.081</v>
      </c>
      <c r="F2056" s="5">
        <v>0.312</v>
      </c>
    </row>
    <row r="2057" spans="2:6" x14ac:dyDescent="0.2">
      <c r="B2057" s="9" t="s">
        <v>5263</v>
      </c>
      <c r="C2057" s="15" t="s">
        <v>4127</v>
      </c>
      <c r="D2057" s="12" t="str">
        <f>"2107-0180"</f>
        <v>2107-0180</v>
      </c>
      <c r="E2057" s="5">
        <v>2.4409999999999998</v>
      </c>
      <c r="F2057" s="5">
        <v>0.27300000000000002</v>
      </c>
    </row>
    <row r="2058" spans="2:6" x14ac:dyDescent="0.2">
      <c r="B2058" s="9" t="s">
        <v>9291</v>
      </c>
      <c r="C2058" s="15" t="s">
        <v>9292</v>
      </c>
      <c r="D2058" s="12" t="str">
        <f>"0969-9546"</f>
        <v>0969-9546</v>
      </c>
      <c r="E2058" s="5">
        <v>2.7989999999999999</v>
      </c>
      <c r="F2058" s="5">
        <v>0.71899999999999997</v>
      </c>
    </row>
    <row r="2059" spans="2:6" x14ac:dyDescent="0.2">
      <c r="B2059" s="9" t="s">
        <v>5264</v>
      </c>
      <c r="C2059" s="15" t="s">
        <v>4128</v>
      </c>
      <c r="D2059" s="12" t="str">
        <f>"0804-4643"</f>
        <v>0804-4643</v>
      </c>
      <c r="E2059" s="5">
        <v>6.6639999999999997</v>
      </c>
      <c r="F2059" s="5">
        <v>0.86899999999999999</v>
      </c>
    </row>
    <row r="2060" spans="2:6" x14ac:dyDescent="0.2">
      <c r="B2060" s="9" t="s">
        <v>5265</v>
      </c>
      <c r="C2060" s="15" t="s">
        <v>4129</v>
      </c>
      <c r="D2060" s="12" t="str">
        <f>"0393-2990"</f>
        <v>0393-2990</v>
      </c>
      <c r="E2060" s="5">
        <v>8.0820000000000007</v>
      </c>
      <c r="F2060" s="5">
        <v>0.95899999999999996</v>
      </c>
    </row>
    <row r="2061" spans="2:6" x14ac:dyDescent="0.2">
      <c r="B2061" s="9" t="s">
        <v>9293</v>
      </c>
      <c r="C2061" s="15" t="s">
        <v>9294</v>
      </c>
      <c r="D2061" s="12" t="str">
        <f>"2195-4194"</f>
        <v>2195-4194</v>
      </c>
      <c r="E2061" s="5">
        <v>1.679</v>
      </c>
      <c r="F2061" s="5">
        <v>0.40400000000000003</v>
      </c>
    </row>
    <row r="2062" spans="2:6" x14ac:dyDescent="0.2">
      <c r="B2062" s="9" t="s">
        <v>5266</v>
      </c>
      <c r="C2062" s="15" t="s">
        <v>4130</v>
      </c>
      <c r="D2062" s="12" t="str">
        <f>"0954-691X"</f>
        <v>0954-691X</v>
      </c>
      <c r="E2062" s="5">
        <v>2.5659999999999998</v>
      </c>
      <c r="F2062" s="5">
        <v>0.19600000000000001</v>
      </c>
    </row>
    <row r="2063" spans="2:6" x14ac:dyDescent="0.2">
      <c r="B2063" s="9" t="s">
        <v>9295</v>
      </c>
      <c r="C2063" s="15" t="s">
        <v>9296</v>
      </c>
      <c r="D2063" s="12" t="str">
        <f>"1381-4788"</f>
        <v>1381-4788</v>
      </c>
      <c r="E2063" s="5">
        <v>1.9039999999999999</v>
      </c>
      <c r="F2063" s="5">
        <v>0.41899999999999998</v>
      </c>
    </row>
    <row r="2064" spans="2:6" x14ac:dyDescent="0.2">
      <c r="B2064" s="9" t="s">
        <v>5267</v>
      </c>
      <c r="C2064" s="15" t="s">
        <v>4131</v>
      </c>
      <c r="D2064" s="12" t="str">
        <f>"0392-2936"</f>
        <v>0392-2936</v>
      </c>
      <c r="E2064" s="5">
        <v>0.19600000000000001</v>
      </c>
      <c r="F2064" s="5">
        <v>3.5999999999999997E-2</v>
      </c>
    </row>
    <row r="2065" spans="2:6" x14ac:dyDescent="0.2">
      <c r="B2065" s="9" t="s">
        <v>5268</v>
      </c>
      <c r="C2065" s="15" t="s">
        <v>4132</v>
      </c>
      <c r="D2065" s="12" t="str">
        <f>"0902-4441"</f>
        <v>0902-4441</v>
      </c>
      <c r="E2065" s="5">
        <v>2.9969999999999999</v>
      </c>
      <c r="F2065" s="5">
        <v>0.36799999999999999</v>
      </c>
    </row>
    <row r="2066" spans="2:6" x14ac:dyDescent="0.2">
      <c r="B2066" s="9" t="s">
        <v>9297</v>
      </c>
      <c r="C2066" s="15" t="s">
        <v>9298</v>
      </c>
      <c r="D2066" s="12" t="str">
        <f>"1618-7598"</f>
        <v>1618-7598</v>
      </c>
      <c r="E2066" s="5">
        <v>3.6890000000000001</v>
      </c>
      <c r="F2066" s="5">
        <v>0.85199999999999998</v>
      </c>
    </row>
    <row r="2067" spans="2:6" x14ac:dyDescent="0.2">
      <c r="B2067" s="9" t="s">
        <v>9299</v>
      </c>
      <c r="C2067" s="15" t="s">
        <v>9300</v>
      </c>
      <c r="D2067" s="12" t="str">
        <f>"2512-8442"</f>
        <v>2512-8442</v>
      </c>
      <c r="E2067" s="5">
        <v>1.556</v>
      </c>
      <c r="F2067" s="5">
        <v>0.246</v>
      </c>
    </row>
    <row r="2068" spans="2:6" x14ac:dyDescent="0.2">
      <c r="B2068" s="9" t="s">
        <v>5269</v>
      </c>
      <c r="C2068" s="15" t="s">
        <v>4133</v>
      </c>
      <c r="D2068" s="12" t="str">
        <f>"1388-9842"</f>
        <v>1388-9842</v>
      </c>
      <c r="E2068" s="5">
        <v>15.534000000000001</v>
      </c>
      <c r="F2068" s="5">
        <v>0.95699999999999996</v>
      </c>
    </row>
    <row r="2069" spans="2:6" x14ac:dyDescent="0.2">
      <c r="B2069" s="9" t="s">
        <v>5270</v>
      </c>
      <c r="C2069" s="15" t="s">
        <v>4134</v>
      </c>
      <c r="D2069" s="12" t="str">
        <f>"1121-760X"</f>
        <v>1121-760X</v>
      </c>
      <c r="E2069" s="5">
        <v>3.1880000000000002</v>
      </c>
      <c r="F2069" s="5">
        <v>0.29499999999999998</v>
      </c>
    </row>
    <row r="2070" spans="2:6" x14ac:dyDescent="0.2">
      <c r="B2070" s="9" t="s">
        <v>9301</v>
      </c>
      <c r="C2070" s="15" t="s">
        <v>9302</v>
      </c>
      <c r="D2070" s="12" t="str">
        <f>"2047-9956"</f>
        <v>2047-9956</v>
      </c>
      <c r="E2070" s="5">
        <v>1.6519999999999999</v>
      </c>
      <c r="F2070" s="5">
        <v>0.127</v>
      </c>
    </row>
    <row r="2071" spans="2:6" x14ac:dyDescent="0.2">
      <c r="B2071" s="9" t="s">
        <v>5271</v>
      </c>
      <c r="C2071" s="15" t="s">
        <v>4135</v>
      </c>
      <c r="D2071" s="12" t="str">
        <f>"1018-4813"</f>
        <v>1018-4813</v>
      </c>
      <c r="E2071" s="5">
        <v>4.2460000000000004</v>
      </c>
      <c r="F2071" s="5">
        <v>0.66300000000000003</v>
      </c>
    </row>
    <row r="2072" spans="2:6" x14ac:dyDescent="0.2">
      <c r="B2072" s="9" t="s">
        <v>5272</v>
      </c>
      <c r="C2072" s="15" t="s">
        <v>4136</v>
      </c>
      <c r="D2072" s="12" t="str">
        <f>"0014-2980"</f>
        <v>0014-2980</v>
      </c>
      <c r="E2072" s="5">
        <v>5.532</v>
      </c>
      <c r="F2072" s="5">
        <v>0.70399999999999996</v>
      </c>
    </row>
    <row r="2073" spans="2:6" x14ac:dyDescent="0.2">
      <c r="B2073" s="9" t="s">
        <v>1081</v>
      </c>
      <c r="C2073" s="15" t="s">
        <v>1082</v>
      </c>
      <c r="D2073" s="12" t="str">
        <f>"1721-727X"</f>
        <v>1721-727X</v>
      </c>
      <c r="E2073" s="5">
        <v>0.46600000000000003</v>
      </c>
      <c r="F2073" s="5">
        <v>6.0000000000000001E-3</v>
      </c>
    </row>
    <row r="2074" spans="2:6" x14ac:dyDescent="0.2">
      <c r="B2074" s="9" t="s">
        <v>9303</v>
      </c>
      <c r="C2074" s="15" t="s">
        <v>9304</v>
      </c>
      <c r="D2074" s="12" t="str">
        <f>"1476-9344"</f>
        <v>1476-9344</v>
      </c>
      <c r="E2074" s="5">
        <v>4.3440000000000003</v>
      </c>
      <c r="F2074" s="5">
        <v>0.72699999999999998</v>
      </c>
    </row>
    <row r="2075" spans="2:6" x14ac:dyDescent="0.2">
      <c r="B2075" s="9" t="s">
        <v>9305</v>
      </c>
      <c r="C2075" s="15" t="s">
        <v>9306</v>
      </c>
      <c r="D2075" s="12" t="str">
        <f>"1876-3820"</f>
        <v>1876-3820</v>
      </c>
      <c r="E2075" s="5">
        <v>1.3140000000000001</v>
      </c>
      <c r="F2075" s="5">
        <v>0.25</v>
      </c>
    </row>
    <row r="2076" spans="2:6" x14ac:dyDescent="0.2">
      <c r="B2076" s="9" t="s">
        <v>1083</v>
      </c>
      <c r="C2076" s="15" t="s">
        <v>1084</v>
      </c>
      <c r="D2076" s="12" t="str">
        <f>"0953-6205"</f>
        <v>0953-6205</v>
      </c>
      <c r="E2076" s="5">
        <v>4.4870000000000001</v>
      </c>
      <c r="F2076" s="5">
        <v>0.78400000000000003</v>
      </c>
    </row>
    <row r="2077" spans="2:6" x14ac:dyDescent="0.2">
      <c r="B2077" s="9" t="s">
        <v>5273</v>
      </c>
      <c r="C2077" s="15" t="s">
        <v>4137</v>
      </c>
      <c r="D2077" s="12" t="str">
        <f>"1438-7697"</f>
        <v>1438-7697</v>
      </c>
      <c r="E2077" s="5">
        <v>2.6789999999999998</v>
      </c>
      <c r="F2077" s="5">
        <v>0.46899999999999997</v>
      </c>
    </row>
    <row r="2078" spans="2:6" x14ac:dyDescent="0.2">
      <c r="B2078" s="9" t="s">
        <v>5274</v>
      </c>
      <c r="C2078" s="15" t="s">
        <v>4138</v>
      </c>
      <c r="D2078" s="12" t="str">
        <f>"0223-5234"</f>
        <v>0223-5234</v>
      </c>
      <c r="E2078" s="5">
        <v>6.5140000000000002</v>
      </c>
      <c r="F2078" s="5">
        <v>0.93500000000000005</v>
      </c>
    </row>
    <row r="2079" spans="2:6" x14ac:dyDescent="0.2">
      <c r="B2079" s="9" t="s">
        <v>5275</v>
      </c>
      <c r="C2079" s="15" t="s">
        <v>4139</v>
      </c>
      <c r="D2079" s="12" t="str">
        <f>"1769-7212"</f>
        <v>1769-7212</v>
      </c>
      <c r="E2079" s="5">
        <v>2.7080000000000002</v>
      </c>
      <c r="F2079" s="5">
        <v>0.39400000000000002</v>
      </c>
    </row>
    <row r="2080" spans="2:6" x14ac:dyDescent="0.2">
      <c r="B2080" s="9" t="s">
        <v>5276</v>
      </c>
      <c r="C2080" s="15" t="s">
        <v>4140</v>
      </c>
      <c r="D2080" s="12" t="str">
        <f>"0949-2321"</f>
        <v>0949-2321</v>
      </c>
      <c r="E2080" s="5">
        <v>2.1749999999999998</v>
      </c>
      <c r="F2080" s="5">
        <v>0.20699999999999999</v>
      </c>
    </row>
    <row r="2081" spans="2:6" x14ac:dyDescent="0.2">
      <c r="B2081" s="9" t="s">
        <v>1085</v>
      </c>
      <c r="C2081" s="15" t="s">
        <v>1086</v>
      </c>
      <c r="D2081" s="12" t="str">
        <f>"1388-364X"</f>
        <v>1388-364X</v>
      </c>
      <c r="E2081" s="5">
        <v>0.92900000000000005</v>
      </c>
      <c r="F2081" s="5">
        <v>0.318</v>
      </c>
    </row>
    <row r="2082" spans="2:6" x14ac:dyDescent="0.2">
      <c r="B2082" s="9" t="s">
        <v>5277</v>
      </c>
      <c r="C2082" s="15" t="s">
        <v>4141</v>
      </c>
      <c r="D2082" s="12" t="str">
        <f>"1351-5101"</f>
        <v>1351-5101</v>
      </c>
      <c r="E2082" s="5">
        <v>6.0890000000000004</v>
      </c>
      <c r="F2082" s="5">
        <v>0.86099999999999999</v>
      </c>
    </row>
    <row r="2083" spans="2:6" x14ac:dyDescent="0.2">
      <c r="B2083" s="9" t="s">
        <v>5278</v>
      </c>
      <c r="C2083" s="15" t="s">
        <v>4142</v>
      </c>
      <c r="D2083" s="12" t="str">
        <f>"0953-816X"</f>
        <v>0953-816X</v>
      </c>
      <c r="E2083" s="5">
        <v>3.3860000000000001</v>
      </c>
      <c r="F2083" s="5">
        <v>0.42499999999999999</v>
      </c>
    </row>
    <row r="2084" spans="2:6" x14ac:dyDescent="0.2">
      <c r="B2084" s="9" t="s">
        <v>5279</v>
      </c>
      <c r="C2084" s="15" t="s">
        <v>4143</v>
      </c>
      <c r="D2084" s="12" t="str">
        <f>"1619-7070"</f>
        <v>1619-7070</v>
      </c>
      <c r="E2084" s="5">
        <v>9.2360000000000007</v>
      </c>
      <c r="F2084" s="5">
        <v>0.97</v>
      </c>
    </row>
    <row r="2085" spans="2:6" x14ac:dyDescent="0.2">
      <c r="B2085" s="9" t="s">
        <v>5280</v>
      </c>
      <c r="C2085" s="15" t="s">
        <v>4144</v>
      </c>
      <c r="D2085" s="12" t="str">
        <f>"1436-6207"</f>
        <v>1436-6207</v>
      </c>
      <c r="E2085" s="5">
        <v>5.6139999999999999</v>
      </c>
      <c r="F2085" s="5">
        <v>0.80700000000000005</v>
      </c>
    </row>
    <row r="2086" spans="2:6" x14ac:dyDescent="0.2">
      <c r="B2086" s="9" t="s">
        <v>5281</v>
      </c>
      <c r="C2086" s="15" t="s">
        <v>9307</v>
      </c>
      <c r="D2086" s="12" t="str">
        <f>"0301-2115"</f>
        <v>0301-2115</v>
      </c>
      <c r="E2086" s="5">
        <v>2.4350000000000001</v>
      </c>
      <c r="F2086" s="5">
        <v>0.42199999999999999</v>
      </c>
    </row>
    <row r="2087" spans="2:6" x14ac:dyDescent="0.2">
      <c r="B2087" s="9" t="s">
        <v>1087</v>
      </c>
      <c r="C2087" s="15" t="s">
        <v>1088</v>
      </c>
      <c r="D2087" s="12" t="str">
        <f>"1532-2122"</f>
        <v>1532-2122</v>
      </c>
      <c r="E2087" s="5">
        <v>2.3980000000000001</v>
      </c>
      <c r="F2087" s="5">
        <v>0.80200000000000005</v>
      </c>
    </row>
    <row r="2088" spans="2:6" x14ac:dyDescent="0.2">
      <c r="B2088" s="9" t="s">
        <v>5282</v>
      </c>
      <c r="C2088" s="15" t="s">
        <v>4145</v>
      </c>
      <c r="D2088" s="12" t="str">
        <f>"1120-6721"</f>
        <v>1120-6721</v>
      </c>
      <c r="E2088" s="5">
        <v>2.597</v>
      </c>
      <c r="F2088" s="5">
        <v>0.48399999999999999</v>
      </c>
    </row>
    <row r="2089" spans="2:6" x14ac:dyDescent="0.2">
      <c r="B2089" s="9" t="s">
        <v>9308</v>
      </c>
      <c r="C2089" s="15" t="s">
        <v>9309</v>
      </c>
      <c r="D2089" s="12" t="str">
        <f>"1756-2406"</f>
        <v>1756-2406</v>
      </c>
      <c r="E2089" s="5">
        <v>3.1230000000000002</v>
      </c>
      <c r="F2089" s="5">
        <v>0.70299999999999996</v>
      </c>
    </row>
    <row r="2090" spans="2:6" x14ac:dyDescent="0.2">
      <c r="B2090" s="9" t="s">
        <v>5283</v>
      </c>
      <c r="C2090" s="15" t="s">
        <v>4146</v>
      </c>
      <c r="D2090" s="12" t="str">
        <f>"0909-8836"</f>
        <v>0909-8836</v>
      </c>
      <c r="E2090" s="5">
        <v>2.6120000000000001</v>
      </c>
      <c r="F2090" s="5">
        <v>0.53800000000000003</v>
      </c>
    </row>
    <row r="2091" spans="2:6" x14ac:dyDescent="0.2">
      <c r="B2091" s="9" t="s">
        <v>5284</v>
      </c>
      <c r="C2091" s="15" t="s">
        <v>4147</v>
      </c>
      <c r="D2091" s="12" t="str">
        <f>"1434-193X"</f>
        <v>1434-193X</v>
      </c>
      <c r="E2091" s="5">
        <v>3.0209999999999999</v>
      </c>
      <c r="F2091" s="5">
        <v>0.63200000000000001</v>
      </c>
    </row>
    <row r="2092" spans="2:6" x14ac:dyDescent="0.2">
      <c r="B2092" s="9" t="s">
        <v>5285</v>
      </c>
      <c r="C2092" s="15" t="s">
        <v>4148</v>
      </c>
      <c r="D2092" s="12" t="str">
        <f>"0141-5387"</f>
        <v>0141-5387</v>
      </c>
      <c r="E2092" s="5">
        <v>3.0750000000000002</v>
      </c>
      <c r="F2092" s="5">
        <v>0.69199999999999995</v>
      </c>
    </row>
    <row r="2093" spans="2:6" x14ac:dyDescent="0.2">
      <c r="B2093" s="9" t="s">
        <v>9310</v>
      </c>
      <c r="C2093" s="15" t="s">
        <v>9311</v>
      </c>
      <c r="D2093" s="12" t="str">
        <f>"1591-996X"</f>
        <v>1591-996X</v>
      </c>
      <c r="E2093" s="5">
        <v>2.2309999999999999</v>
      </c>
      <c r="F2093" s="5">
        <v>0.52700000000000002</v>
      </c>
    </row>
    <row r="2094" spans="2:6" x14ac:dyDescent="0.2">
      <c r="B2094" s="9" t="s">
        <v>5286</v>
      </c>
      <c r="C2094" s="15" t="s">
        <v>4149</v>
      </c>
      <c r="D2094" s="12" t="str">
        <f>"1090-3798"</f>
        <v>1090-3798</v>
      </c>
      <c r="E2094" s="5">
        <v>3.14</v>
      </c>
      <c r="F2094" s="5">
        <v>0.76700000000000002</v>
      </c>
    </row>
    <row r="2095" spans="2:6" x14ac:dyDescent="0.2">
      <c r="B2095" s="9" t="s">
        <v>5287</v>
      </c>
      <c r="C2095" s="15" t="s">
        <v>4150</v>
      </c>
      <c r="D2095" s="12" t="str">
        <f>"1090-3801"</f>
        <v>1090-3801</v>
      </c>
      <c r="E2095" s="5">
        <v>3.931</v>
      </c>
      <c r="F2095" s="5">
        <v>0.64400000000000002</v>
      </c>
    </row>
    <row r="2096" spans="2:6" x14ac:dyDescent="0.2">
      <c r="B2096" s="9" t="s">
        <v>5288</v>
      </c>
      <c r="C2096" s="15" t="s">
        <v>4151</v>
      </c>
      <c r="D2096" s="12" t="str">
        <f>"0340-6199"</f>
        <v>0340-6199</v>
      </c>
      <c r="E2096" s="5">
        <v>3.1829999999999998</v>
      </c>
      <c r="F2096" s="5">
        <v>0.79100000000000004</v>
      </c>
    </row>
    <row r="2097" spans="2:6" x14ac:dyDescent="0.2">
      <c r="B2097" s="9" t="s">
        <v>5289</v>
      </c>
      <c r="C2097" s="15" t="s">
        <v>4152</v>
      </c>
      <c r="D2097" s="12" t="str">
        <f>"0939-7248"</f>
        <v>0939-7248</v>
      </c>
      <c r="E2097" s="5">
        <v>2.1909999999999998</v>
      </c>
      <c r="F2097" s="5">
        <v>0.496</v>
      </c>
    </row>
    <row r="2098" spans="2:6" x14ac:dyDescent="0.2">
      <c r="B2098" s="9" t="s">
        <v>1089</v>
      </c>
      <c r="C2098" s="15" t="s">
        <v>1090</v>
      </c>
      <c r="D2098" s="12" t="str">
        <f>"0890-2070"</f>
        <v>0890-2070</v>
      </c>
      <c r="E2098" s="5">
        <v>5.8380000000000001</v>
      </c>
      <c r="F2098" s="5">
        <v>0.93799999999999994</v>
      </c>
    </row>
    <row r="2099" spans="2:6" x14ac:dyDescent="0.2">
      <c r="B2099" s="9" t="s">
        <v>5292</v>
      </c>
      <c r="C2099" s="15" t="s">
        <v>4155</v>
      </c>
      <c r="D2099" s="12" t="str">
        <f>"0014-2999"</f>
        <v>0014-2999</v>
      </c>
      <c r="E2099" s="5">
        <v>4.4320000000000004</v>
      </c>
      <c r="F2099" s="5">
        <v>0.69099999999999995</v>
      </c>
    </row>
    <row r="2100" spans="2:6" x14ac:dyDescent="0.2">
      <c r="B2100" s="9" t="s">
        <v>5290</v>
      </c>
      <c r="C2100" s="15" t="s">
        <v>4153</v>
      </c>
      <c r="D2100" s="12" t="str">
        <f>"0939-6411"</f>
        <v>0939-6411</v>
      </c>
      <c r="E2100" s="5">
        <v>5.5709999999999997</v>
      </c>
      <c r="F2100" s="5">
        <v>0.82899999999999996</v>
      </c>
    </row>
    <row r="2101" spans="2:6" x14ac:dyDescent="0.2">
      <c r="B2101" s="9" t="s">
        <v>5291</v>
      </c>
      <c r="C2101" s="15" t="s">
        <v>4154</v>
      </c>
      <c r="D2101" s="12" t="str">
        <f>"0928-0987"</f>
        <v>0928-0987</v>
      </c>
      <c r="E2101" s="5">
        <v>4.3840000000000003</v>
      </c>
      <c r="F2101" s="5">
        <v>0.68400000000000005</v>
      </c>
    </row>
    <row r="2102" spans="2:6" x14ac:dyDescent="0.2">
      <c r="B2102" s="9" t="s">
        <v>9312</v>
      </c>
      <c r="C2102" s="15" t="s">
        <v>9313</v>
      </c>
      <c r="D2102" s="12" t="str">
        <f>"1879-4912"</f>
        <v>1879-4912</v>
      </c>
      <c r="E2102" s="5">
        <v>1.7529999999999999</v>
      </c>
      <c r="F2102" s="5">
        <v>0.79700000000000004</v>
      </c>
    </row>
    <row r="2103" spans="2:6" x14ac:dyDescent="0.2">
      <c r="B2103" s="9" t="s">
        <v>5293</v>
      </c>
      <c r="C2103" s="15" t="s">
        <v>4156</v>
      </c>
      <c r="D2103" s="12" t="str">
        <f>"0143-0807"</f>
        <v>0143-0807</v>
      </c>
      <c r="E2103" s="5">
        <v>0.78100000000000003</v>
      </c>
      <c r="F2103" s="5">
        <v>0.153</v>
      </c>
    </row>
    <row r="2104" spans="2:6" x14ac:dyDescent="0.2">
      <c r="B2104" s="9" t="s">
        <v>9314</v>
      </c>
      <c r="C2104" s="15" t="s">
        <v>9315</v>
      </c>
      <c r="D2104" s="12" t="str">
        <f>"1973-9095"</f>
        <v>1973-9095</v>
      </c>
      <c r="E2104" s="5">
        <v>2.8740000000000001</v>
      </c>
      <c r="F2104" s="5">
        <v>0.77300000000000002</v>
      </c>
    </row>
    <row r="2105" spans="2:6" x14ac:dyDescent="0.2">
      <c r="B2105" s="9" t="s">
        <v>1091</v>
      </c>
      <c r="C2105" s="15" t="s">
        <v>9316</v>
      </c>
      <c r="D2105" s="12" t="str">
        <f>"0168-6577"</f>
        <v>0168-6577</v>
      </c>
      <c r="E2105" s="5">
        <v>3.113</v>
      </c>
      <c r="F2105" s="5">
        <v>0.79300000000000004</v>
      </c>
    </row>
    <row r="2106" spans="2:6" x14ac:dyDescent="0.2">
      <c r="B2106" s="9" t="s">
        <v>9317</v>
      </c>
      <c r="C2106" s="15" t="s">
        <v>9318</v>
      </c>
      <c r="D2106" s="12" t="str">
        <f>"2047-4873"</f>
        <v>2047-4873</v>
      </c>
      <c r="E2106" s="5">
        <v>7.8040000000000003</v>
      </c>
      <c r="F2106" s="5">
        <v>0.879</v>
      </c>
    </row>
    <row r="2107" spans="2:6" x14ac:dyDescent="0.2">
      <c r="B2107" s="9" t="s">
        <v>5294</v>
      </c>
      <c r="C2107" s="15" t="s">
        <v>4157</v>
      </c>
      <c r="D2107" s="12" t="str">
        <f>"0932-4739"</f>
        <v>0932-4739</v>
      </c>
      <c r="E2107" s="5">
        <v>3.02</v>
      </c>
      <c r="F2107" s="5">
        <v>0.36299999999999999</v>
      </c>
    </row>
    <row r="2108" spans="2:6" x14ac:dyDescent="0.2">
      <c r="B2108" s="9" t="s">
        <v>1092</v>
      </c>
      <c r="C2108" s="15" t="s">
        <v>1093</v>
      </c>
      <c r="D2108" s="12" t="str">
        <f>"0213-6163"</f>
        <v>0213-6163</v>
      </c>
      <c r="E2108" s="5">
        <v>0.67300000000000004</v>
      </c>
      <c r="F2108" s="5">
        <v>0.06</v>
      </c>
    </row>
    <row r="2109" spans="2:6" x14ac:dyDescent="0.2">
      <c r="B2109" s="9" t="s">
        <v>9319</v>
      </c>
      <c r="C2109" s="15" t="s">
        <v>9320</v>
      </c>
      <c r="D2109" s="12" t="str">
        <f>"1889-1861"</f>
        <v>1889-1861</v>
      </c>
      <c r="E2109" s="5">
        <v>9.3000000000000007</v>
      </c>
      <c r="F2109" s="5">
        <v>1</v>
      </c>
    </row>
    <row r="2110" spans="2:6" x14ac:dyDescent="0.2">
      <c r="B2110" s="9" t="s">
        <v>1094</v>
      </c>
      <c r="C2110" s="15" t="s">
        <v>1095</v>
      </c>
      <c r="D2110" s="12" t="str">
        <f>"1015-5759"</f>
        <v>1015-5759</v>
      </c>
      <c r="E2110" s="5">
        <v>2.9849999999999999</v>
      </c>
      <c r="F2110" s="5">
        <v>0.50600000000000001</v>
      </c>
    </row>
    <row r="2111" spans="2:6" x14ac:dyDescent="0.2">
      <c r="B2111" s="9" t="s">
        <v>1096</v>
      </c>
      <c r="C2111" s="15" t="s">
        <v>1097</v>
      </c>
      <c r="D2111" s="12" t="str">
        <f>"0256-2928"</f>
        <v>0256-2928</v>
      </c>
      <c r="E2111" s="5">
        <v>2.6629999999999998</v>
      </c>
      <c r="F2111" s="5">
        <v>0.55000000000000004</v>
      </c>
    </row>
    <row r="2112" spans="2:6" x14ac:dyDescent="0.2">
      <c r="B2112" s="9" t="s">
        <v>9321</v>
      </c>
      <c r="C2112" s="15" t="s">
        <v>9322</v>
      </c>
      <c r="D2112" s="12" t="str">
        <f>"2000-8198"</f>
        <v>2000-8198</v>
      </c>
      <c r="E2112" s="5">
        <v>4.0709999999999997</v>
      </c>
      <c r="F2112" s="5">
        <v>0.746</v>
      </c>
    </row>
    <row r="2113" spans="2:6" x14ac:dyDescent="0.2">
      <c r="B2113" s="9" t="s">
        <v>5295</v>
      </c>
      <c r="C2113" s="15" t="s">
        <v>4158</v>
      </c>
      <c r="D2113" s="12" t="str">
        <f>"1101-1262"</f>
        <v>1101-1262</v>
      </c>
      <c r="E2113" s="5">
        <v>3.367</v>
      </c>
      <c r="F2113" s="5">
        <v>0.71699999999999997</v>
      </c>
    </row>
    <row r="2114" spans="2:6" x14ac:dyDescent="0.2">
      <c r="B2114" s="9" t="s">
        <v>5296</v>
      </c>
      <c r="C2114" s="15" t="s">
        <v>4159</v>
      </c>
      <c r="D2114" s="12" t="str">
        <f>"0720-048X"</f>
        <v>0720-048X</v>
      </c>
      <c r="E2114" s="5">
        <v>3.528</v>
      </c>
      <c r="F2114" s="5">
        <v>0.65400000000000003</v>
      </c>
    </row>
    <row r="2115" spans="2:6" x14ac:dyDescent="0.2">
      <c r="B2115" s="9" t="s">
        <v>1098</v>
      </c>
      <c r="C2115" s="15" t="s">
        <v>1099</v>
      </c>
      <c r="D2115" s="12" t="str">
        <f>"0046-2772"</f>
        <v>0046-2772</v>
      </c>
      <c r="E2115" s="5">
        <v>3.3759999999999999</v>
      </c>
      <c r="F2115" s="5">
        <v>0.68799999999999994</v>
      </c>
    </row>
    <row r="2116" spans="2:6" x14ac:dyDescent="0.2">
      <c r="B2116" s="9" t="s">
        <v>1100</v>
      </c>
      <c r="C2116" s="15" t="s">
        <v>1101</v>
      </c>
      <c r="D2116" s="12" t="str">
        <f>"1746-1391"</f>
        <v>1746-1391</v>
      </c>
      <c r="E2116" s="5">
        <v>4.05</v>
      </c>
      <c r="F2116" s="5">
        <v>0.77300000000000002</v>
      </c>
    </row>
    <row r="2117" spans="2:6" x14ac:dyDescent="0.2">
      <c r="B2117" s="9" t="s">
        <v>1102</v>
      </c>
      <c r="C2117" s="15" t="s">
        <v>1103</v>
      </c>
      <c r="D2117" s="12" t="str">
        <f>"1863-9933"</f>
        <v>1863-9933</v>
      </c>
      <c r="E2117" s="5">
        <v>3.6930000000000001</v>
      </c>
      <c r="F2117" s="5">
        <v>0.84399999999999997</v>
      </c>
    </row>
    <row r="2118" spans="2:6" x14ac:dyDescent="0.2">
      <c r="B2118" s="9" t="s">
        <v>5297</v>
      </c>
      <c r="C2118" s="15" t="s">
        <v>4160</v>
      </c>
      <c r="D2118" s="12" t="str">
        <f>"1078-5884"</f>
        <v>1078-5884</v>
      </c>
      <c r="E2118" s="5">
        <v>7.069</v>
      </c>
      <c r="F2118" s="5">
        <v>0.96199999999999997</v>
      </c>
    </row>
    <row r="2119" spans="2:6" x14ac:dyDescent="0.2">
      <c r="B2119" s="9" t="s">
        <v>1104</v>
      </c>
      <c r="C2119" s="15" t="s">
        <v>1105</v>
      </c>
      <c r="D2119" s="12" t="str">
        <f>"1350-5068"</f>
        <v>1350-5068</v>
      </c>
      <c r="E2119" s="5">
        <v>3.3650000000000002</v>
      </c>
      <c r="F2119" s="5">
        <v>0.88600000000000001</v>
      </c>
    </row>
    <row r="2120" spans="2:6" x14ac:dyDescent="0.2">
      <c r="B2120" s="9" t="s">
        <v>1106</v>
      </c>
      <c r="C2120" s="15" t="s">
        <v>1107</v>
      </c>
      <c r="D2120" s="12" t="str">
        <f>"1359-432X"</f>
        <v>1359-432X</v>
      </c>
      <c r="E2120" s="5">
        <v>3.968</v>
      </c>
      <c r="F2120" s="5">
        <v>0.73499999999999999</v>
      </c>
    </row>
    <row r="2121" spans="2:6" x14ac:dyDescent="0.2">
      <c r="B2121" s="9" t="s">
        <v>5298</v>
      </c>
      <c r="C2121" s="15" t="s">
        <v>4161</v>
      </c>
      <c r="D2121" s="12" t="str">
        <f>"0014-3022"</f>
        <v>0014-3022</v>
      </c>
      <c r="E2121" s="5">
        <v>1.71</v>
      </c>
      <c r="F2121" s="5">
        <v>0.14399999999999999</v>
      </c>
    </row>
    <row r="2122" spans="2:6" x14ac:dyDescent="0.2">
      <c r="B2122" s="9" t="s">
        <v>5299</v>
      </c>
      <c r="C2122" s="15" t="s">
        <v>4162</v>
      </c>
      <c r="D2122" s="12" t="str">
        <f>"0924-977X"</f>
        <v>0924-977X</v>
      </c>
      <c r="E2122" s="5">
        <v>4.5999999999999996</v>
      </c>
      <c r="F2122" s="5">
        <v>0.77800000000000002</v>
      </c>
    </row>
    <row r="2123" spans="2:6" x14ac:dyDescent="0.2">
      <c r="B2123" s="9" t="s">
        <v>9323</v>
      </c>
      <c r="C2123" s="15" t="s">
        <v>9324</v>
      </c>
      <c r="D2123" s="12" t="str">
        <f>"1774-024X"</f>
        <v>1774-024X</v>
      </c>
      <c r="E2123" s="5">
        <v>6.5339999999999998</v>
      </c>
      <c r="F2123" s="5">
        <v>0.83</v>
      </c>
    </row>
    <row r="2124" spans="2:6" x14ac:dyDescent="0.2">
      <c r="B2124" s="9" t="s">
        <v>5307</v>
      </c>
      <c r="C2124" s="15" t="s">
        <v>5307</v>
      </c>
      <c r="D2124" s="12" t="str">
        <f>"1099-5129"</f>
        <v>1099-5129</v>
      </c>
      <c r="E2124" s="5">
        <v>5.2140000000000004</v>
      </c>
      <c r="F2124" s="5">
        <v>0.72299999999999998</v>
      </c>
    </row>
    <row r="2125" spans="2:6" x14ac:dyDescent="0.2">
      <c r="B2125" s="9" t="s">
        <v>9325</v>
      </c>
      <c r="C2125" s="15" t="s">
        <v>9325</v>
      </c>
      <c r="D2125" s="12" t="str">
        <f>"2588-9311"</f>
        <v>2588-9311</v>
      </c>
      <c r="E2125" s="5">
        <v>7.4790000000000001</v>
      </c>
      <c r="F2125" s="5">
        <v>0.91</v>
      </c>
    </row>
    <row r="2126" spans="2:6" x14ac:dyDescent="0.2">
      <c r="B2126" s="9" t="s">
        <v>9326</v>
      </c>
      <c r="C2126" s="15" t="s">
        <v>9327</v>
      </c>
      <c r="D2126" s="12" t="str">
        <f>"1025-496X"</f>
        <v>1025-496X</v>
      </c>
      <c r="E2126" s="5">
        <v>6.3070000000000004</v>
      </c>
      <c r="F2126" s="5">
        <v>0.92400000000000004</v>
      </c>
    </row>
    <row r="2127" spans="2:6" x14ac:dyDescent="0.2">
      <c r="B2127" s="9" t="s">
        <v>9328</v>
      </c>
      <c r="C2127" s="15" t="s">
        <v>9329</v>
      </c>
      <c r="D2127" s="12" t="str">
        <f>"1434-6079"</f>
        <v>1434-6079</v>
      </c>
      <c r="E2127" s="5">
        <v>1.425</v>
      </c>
      <c r="F2127" s="5">
        <v>0.24299999999999999</v>
      </c>
    </row>
    <row r="2128" spans="2:6" x14ac:dyDescent="0.2">
      <c r="B2128" s="9" t="s">
        <v>9330</v>
      </c>
      <c r="C2128" s="15" t="s">
        <v>9331</v>
      </c>
      <c r="D2128" s="12" t="str">
        <f>"2102-6459"</f>
        <v>2102-6459</v>
      </c>
      <c r="E2128" s="5">
        <v>0.82799999999999996</v>
      </c>
      <c r="F2128" s="5">
        <v>0.44600000000000001</v>
      </c>
    </row>
    <row r="2129" spans="2:6" x14ac:dyDescent="0.2">
      <c r="B2129" s="9" t="s">
        <v>5300</v>
      </c>
      <c r="C2129" s="15" t="s">
        <v>4163</v>
      </c>
      <c r="D2129" s="12" t="str">
        <f>"0924-9338"</f>
        <v>0924-9338</v>
      </c>
      <c r="E2129" s="5">
        <v>5.3609999999999998</v>
      </c>
      <c r="F2129" s="5">
        <v>0.86099999999999999</v>
      </c>
    </row>
    <row r="2130" spans="2:6" x14ac:dyDescent="0.2">
      <c r="B2130" s="9" t="s">
        <v>1108</v>
      </c>
      <c r="C2130" s="15" t="s">
        <v>1109</v>
      </c>
      <c r="D2130" s="12" t="str">
        <f>"1016-9040"</f>
        <v>1016-9040</v>
      </c>
      <c r="E2130" s="5">
        <v>5.569</v>
      </c>
      <c r="F2130" s="5">
        <v>0.89200000000000002</v>
      </c>
    </row>
    <row r="2131" spans="2:6" x14ac:dyDescent="0.2">
      <c r="B2131" s="9" t="s">
        <v>5301</v>
      </c>
      <c r="C2131" s="15" t="s">
        <v>4164</v>
      </c>
      <c r="D2131" s="12" t="str">
        <f>"0938-7994"</f>
        <v>0938-7994</v>
      </c>
      <c r="E2131" s="5">
        <v>5.3150000000000004</v>
      </c>
      <c r="F2131" s="5">
        <v>0.85</v>
      </c>
    </row>
    <row r="2132" spans="2:6" x14ac:dyDescent="0.2">
      <c r="B2132" s="9" t="s">
        <v>5302</v>
      </c>
      <c r="C2132" s="15" t="s">
        <v>4165</v>
      </c>
      <c r="D2132" s="12" t="str">
        <f>"0903-1936"</f>
        <v>0903-1936</v>
      </c>
      <c r="E2132" s="5">
        <v>16.670999999999999</v>
      </c>
      <c r="F2132" s="5">
        <v>0.96899999999999997</v>
      </c>
    </row>
    <row r="2133" spans="2:6" x14ac:dyDescent="0.2">
      <c r="B2133" s="9" t="s">
        <v>9332</v>
      </c>
      <c r="C2133" s="15" t="s">
        <v>9333</v>
      </c>
      <c r="D2133" s="12" t="str">
        <f>"0905-9180"</f>
        <v>0905-9180</v>
      </c>
      <c r="E2133" s="5">
        <v>8.8390000000000004</v>
      </c>
      <c r="F2133" s="5">
        <v>0.89100000000000001</v>
      </c>
    </row>
    <row r="2134" spans="2:6" x14ac:dyDescent="0.2">
      <c r="B2134" s="9" t="s">
        <v>1110</v>
      </c>
      <c r="C2134" s="15" t="s">
        <v>1111</v>
      </c>
      <c r="D2134" s="12" t="str">
        <f>"1813-7253"</f>
        <v>1813-7253</v>
      </c>
      <c r="E2134" s="5">
        <v>3.8780000000000001</v>
      </c>
      <c r="F2134" s="5">
        <v>0.52800000000000002</v>
      </c>
    </row>
    <row r="2135" spans="2:6" ht="25.5" x14ac:dyDescent="0.2">
      <c r="B2135" s="9" t="s">
        <v>9334</v>
      </c>
      <c r="C2135" s="15" t="s">
        <v>9335</v>
      </c>
      <c r="D2135" s="12" t="str">
        <f>"1162-9088"</f>
        <v>1162-9088</v>
      </c>
      <c r="E2135" s="5">
        <v>0.82199999999999995</v>
      </c>
      <c r="F2135" s="5">
        <v>4.8000000000000001E-2</v>
      </c>
    </row>
    <row r="2136" spans="2:6" x14ac:dyDescent="0.2">
      <c r="B2136" s="9" t="s">
        <v>1112</v>
      </c>
      <c r="C2136" s="15" t="s">
        <v>1113</v>
      </c>
      <c r="D2136" s="12" t="str">
        <f>"1128-3602"</f>
        <v>1128-3602</v>
      </c>
      <c r="E2136" s="5">
        <v>3.5070000000000001</v>
      </c>
      <c r="F2136" s="5">
        <v>0.51600000000000001</v>
      </c>
    </row>
    <row r="2137" spans="2:6" x14ac:dyDescent="0.2">
      <c r="B2137" s="9" t="s">
        <v>9336</v>
      </c>
      <c r="C2137" s="15" t="s">
        <v>9337</v>
      </c>
      <c r="D2137" s="12" t="str">
        <f>"1046-3283"</f>
        <v>1046-3283</v>
      </c>
      <c r="E2137" s="5">
        <v>7.3529999999999998</v>
      </c>
      <c r="F2137" s="5">
        <v>0.95299999999999996</v>
      </c>
    </row>
    <row r="2138" spans="2:6" x14ac:dyDescent="0.2">
      <c r="B2138" s="9" t="s">
        <v>5303</v>
      </c>
      <c r="C2138" s="15" t="s">
        <v>4166</v>
      </c>
      <c r="D2138" s="12" t="str">
        <f>"0940-6719"</f>
        <v>0940-6719</v>
      </c>
      <c r="E2138" s="5">
        <v>3.1339999999999999</v>
      </c>
      <c r="F2138" s="5">
        <v>0.72799999999999998</v>
      </c>
    </row>
    <row r="2139" spans="2:6" x14ac:dyDescent="0.2">
      <c r="B2139" s="9" t="s">
        <v>1114</v>
      </c>
      <c r="C2139" s="15" t="s">
        <v>1115</v>
      </c>
      <c r="D2139" s="12" t="str">
        <f>"1682-8631"</f>
        <v>1682-8631</v>
      </c>
      <c r="E2139" s="5">
        <v>0.95299999999999996</v>
      </c>
      <c r="F2139" s="5">
        <v>7.0999999999999994E-2</v>
      </c>
    </row>
    <row r="2140" spans="2:6" x14ac:dyDescent="0.2">
      <c r="B2140" s="9" t="s">
        <v>5304</v>
      </c>
      <c r="C2140" s="15" t="s">
        <v>4167</v>
      </c>
      <c r="D2140" s="12" t="str">
        <f>"0014-312X"</f>
        <v>0014-312X</v>
      </c>
      <c r="E2140" s="5">
        <v>1.7450000000000001</v>
      </c>
      <c r="F2140" s="5">
        <v>0.27600000000000002</v>
      </c>
    </row>
    <row r="2141" spans="2:6" x14ac:dyDescent="0.2">
      <c r="B2141" s="9" t="s">
        <v>9338</v>
      </c>
      <c r="C2141" s="15" t="s">
        <v>9339</v>
      </c>
      <c r="D2141" s="12" t="str">
        <f>"2235-0640"</f>
        <v>2235-0640</v>
      </c>
      <c r="E2141" s="5">
        <v>4.2089999999999996</v>
      </c>
      <c r="F2141" s="5">
        <v>0.55200000000000005</v>
      </c>
    </row>
    <row r="2142" spans="2:6" x14ac:dyDescent="0.2">
      <c r="B2142" s="9" t="s">
        <v>5305</v>
      </c>
      <c r="C2142" s="15" t="s">
        <v>4168</v>
      </c>
      <c r="D2142" s="12" t="str">
        <f>"0302-2838"</f>
        <v>0302-2838</v>
      </c>
      <c r="E2142" s="5">
        <v>20.096</v>
      </c>
      <c r="F2142" s="5">
        <v>0.98899999999999999</v>
      </c>
    </row>
    <row r="2143" spans="2:6" x14ac:dyDescent="0.2">
      <c r="B2143" s="9" t="s">
        <v>9340</v>
      </c>
      <c r="C2143" s="15" t="s">
        <v>9341</v>
      </c>
      <c r="D2143" s="12" t="str">
        <f>"2405-4569"</f>
        <v>2405-4569</v>
      </c>
      <c r="E2143" s="5">
        <v>5.9960000000000004</v>
      </c>
      <c r="F2143" s="5">
        <v>0.876</v>
      </c>
    </row>
    <row r="2144" spans="2:6" x14ac:dyDescent="0.2">
      <c r="B2144" s="9" t="s">
        <v>5306</v>
      </c>
      <c r="C2144" s="15" t="s">
        <v>4169</v>
      </c>
      <c r="D2144" s="12" t="str">
        <f>"1569-9056"</f>
        <v>1569-9056</v>
      </c>
      <c r="E2144" s="5">
        <v>7.1219999999999999</v>
      </c>
      <c r="F2144" s="5">
        <v>0.88800000000000001</v>
      </c>
    </row>
    <row r="2145" spans="2:6" x14ac:dyDescent="0.2">
      <c r="B2145" s="9" t="s">
        <v>5308</v>
      </c>
      <c r="C2145" s="15" t="s">
        <v>4170</v>
      </c>
      <c r="D2145" s="12" t="str">
        <f>"0163-2787"</f>
        <v>0163-2787</v>
      </c>
      <c r="E2145" s="5">
        <v>2.6509999999999998</v>
      </c>
      <c r="F2145" s="5">
        <v>0.56799999999999995</v>
      </c>
    </row>
    <row r="2146" spans="2:6" x14ac:dyDescent="0.2">
      <c r="B2146" s="9" t="s">
        <v>1116</v>
      </c>
      <c r="C2146" s="15" t="s">
        <v>1117</v>
      </c>
      <c r="D2146" s="12" t="str">
        <f>"0149-7189"</f>
        <v>0149-7189</v>
      </c>
      <c r="E2146" s="5">
        <v>1.849</v>
      </c>
      <c r="F2146" s="5">
        <v>0.45900000000000002</v>
      </c>
    </row>
    <row r="2147" spans="2:6" x14ac:dyDescent="0.2">
      <c r="B2147" s="9" t="s">
        <v>1118</v>
      </c>
      <c r="C2147" s="15" t="s">
        <v>1119</v>
      </c>
      <c r="D2147" s="12" t="str">
        <f>"0193-841X"</f>
        <v>0193-841X</v>
      </c>
      <c r="E2147" s="5">
        <v>1.2330000000000001</v>
      </c>
      <c r="F2147" s="5">
        <v>0.28399999999999997</v>
      </c>
    </row>
    <row r="2148" spans="2:6" x14ac:dyDescent="0.2">
      <c r="B2148" s="9" t="s">
        <v>9342</v>
      </c>
      <c r="C2148" s="15" t="s">
        <v>9343</v>
      </c>
      <c r="D2148" s="12" t="str">
        <f>"1356-3890"</f>
        <v>1356-3890</v>
      </c>
      <c r="E2148" s="5">
        <v>2.778</v>
      </c>
      <c r="F2148" s="5">
        <v>0.752</v>
      </c>
    </row>
    <row r="2149" spans="2:6" x14ac:dyDescent="0.2">
      <c r="B2149" s="9" t="s">
        <v>1120</v>
      </c>
      <c r="C2149" s="15" t="s">
        <v>1121</v>
      </c>
      <c r="D2149" s="12" t="str">
        <f>"1741-427X"</f>
        <v>1741-427X</v>
      </c>
      <c r="E2149" s="5">
        <v>2.629</v>
      </c>
      <c r="F2149" s="5">
        <v>0.60699999999999998</v>
      </c>
    </row>
    <row r="2150" spans="2:6" x14ac:dyDescent="0.2">
      <c r="B2150" s="9" t="s">
        <v>9344</v>
      </c>
      <c r="C2150" s="15" t="s">
        <v>9345</v>
      </c>
      <c r="D2150" s="12" t="str">
        <f>"1362-0347"</f>
        <v>1362-0347</v>
      </c>
      <c r="E2150" s="5">
        <v>8.141</v>
      </c>
      <c r="F2150" s="5">
        <v>0.94399999999999995</v>
      </c>
    </row>
    <row r="2151" spans="2:6" x14ac:dyDescent="0.2">
      <c r="B2151" s="9" t="s">
        <v>9346</v>
      </c>
      <c r="C2151" s="15" t="s">
        <v>9347</v>
      </c>
      <c r="D2151" s="12" t="str">
        <f>"1744-2648"</f>
        <v>1744-2648</v>
      </c>
      <c r="E2151" s="5">
        <v>1.8360000000000001</v>
      </c>
      <c r="F2151" s="5">
        <v>0.45</v>
      </c>
    </row>
    <row r="2152" spans="2:6" x14ac:dyDescent="0.2">
      <c r="B2152" s="9" t="s">
        <v>9348</v>
      </c>
      <c r="C2152" s="15" t="s">
        <v>9349</v>
      </c>
      <c r="D2152" s="12" t="str">
        <f>"2041-9139"</f>
        <v>2041-9139</v>
      </c>
      <c r="E2152" s="5">
        <v>2.25</v>
      </c>
      <c r="F2152" s="5">
        <v>0.317</v>
      </c>
    </row>
    <row r="2153" spans="2:6" x14ac:dyDescent="0.2">
      <c r="B2153" s="9" t="s">
        <v>1122</v>
      </c>
      <c r="C2153" s="15" t="s">
        <v>9350</v>
      </c>
      <c r="D2153" s="12" t="str">
        <f>"0071-3260"</f>
        <v>0071-3260</v>
      </c>
      <c r="E2153" s="5">
        <v>3.1190000000000002</v>
      </c>
      <c r="F2153" s="5">
        <v>0.56000000000000005</v>
      </c>
    </row>
    <row r="2154" spans="2:6" x14ac:dyDescent="0.2">
      <c r="B2154" s="9" t="s">
        <v>5309</v>
      </c>
      <c r="C2154" s="15" t="s">
        <v>4171</v>
      </c>
      <c r="D2154" s="12" t="str">
        <f>"1520-541X"</f>
        <v>1520-541X</v>
      </c>
      <c r="E2154" s="5">
        <v>1.93</v>
      </c>
      <c r="F2154" s="5">
        <v>0.24</v>
      </c>
    </row>
    <row r="2155" spans="2:6" x14ac:dyDescent="0.2">
      <c r="B2155" s="9" t="s">
        <v>5310</v>
      </c>
      <c r="C2155" s="15" t="s">
        <v>4172</v>
      </c>
      <c r="D2155" s="12" t="str">
        <f>"0269-7653"</f>
        <v>0269-7653</v>
      </c>
      <c r="E2155" s="5">
        <v>2.7170000000000001</v>
      </c>
      <c r="F2155" s="5">
        <v>0.52400000000000002</v>
      </c>
    </row>
    <row r="2156" spans="2:6" x14ac:dyDescent="0.2">
      <c r="B2156" s="9" t="s">
        <v>1123</v>
      </c>
      <c r="C2156" s="15" t="s">
        <v>1124</v>
      </c>
      <c r="D2156" s="12" t="str">
        <f>"1090-5138"</f>
        <v>1090-5138</v>
      </c>
      <c r="E2156" s="5">
        <v>4.1779999999999999</v>
      </c>
      <c r="F2156" s="5">
        <v>0.92900000000000005</v>
      </c>
    </row>
    <row r="2157" spans="2:6" x14ac:dyDescent="0.2">
      <c r="B2157" s="9" t="s">
        <v>9351</v>
      </c>
      <c r="C2157" s="15" t="s">
        <v>9352</v>
      </c>
      <c r="D2157" s="12" t="str">
        <f>"2050-6201"</f>
        <v>2050-6201</v>
      </c>
      <c r="E2157" s="5">
        <v>5.4249999999999998</v>
      </c>
      <c r="F2157" s="5">
        <v>0.90100000000000002</v>
      </c>
    </row>
    <row r="2158" spans="2:6" x14ac:dyDescent="0.2">
      <c r="B2158" s="9" t="s">
        <v>1125</v>
      </c>
      <c r="C2158" s="15" t="s">
        <v>1126</v>
      </c>
      <c r="D2158" s="12" t="str">
        <f>"0014-3855"</f>
        <v>0014-3855</v>
      </c>
      <c r="E2158" s="5">
        <v>0.36799999999999999</v>
      </c>
      <c r="F2158" s="5">
        <v>1.4E-2</v>
      </c>
    </row>
    <row r="2159" spans="2:6" x14ac:dyDescent="0.2">
      <c r="B2159" s="9" t="s">
        <v>9353</v>
      </c>
      <c r="C2159" s="15" t="s">
        <v>9354</v>
      </c>
      <c r="D2159" s="12" t="str">
        <f>"1474-7049"</f>
        <v>1474-7049</v>
      </c>
      <c r="E2159" s="5">
        <v>1.506</v>
      </c>
      <c r="F2159" s="5">
        <v>0.16700000000000001</v>
      </c>
    </row>
    <row r="2160" spans="2:6" x14ac:dyDescent="0.2">
      <c r="B2160" s="9" t="s">
        <v>5311</v>
      </c>
      <c r="C2160" s="15" t="s">
        <v>5311</v>
      </c>
      <c r="D2160" s="12" t="str">
        <f>"1558-5646"</f>
        <v>1558-5646</v>
      </c>
      <c r="E2160" s="5">
        <v>3.694</v>
      </c>
      <c r="F2160" s="5">
        <v>0.72299999999999998</v>
      </c>
    </row>
    <row r="2161" spans="2:6" x14ac:dyDescent="0.2">
      <c r="B2161" s="9" t="s">
        <v>1127</v>
      </c>
      <c r="C2161" s="15" t="s">
        <v>1128</v>
      </c>
      <c r="D2161" s="12" t="str">
        <f>"0014-4029"</f>
        <v>0014-4029</v>
      </c>
      <c r="E2161" s="5">
        <v>5.0419999999999998</v>
      </c>
      <c r="F2161" s="5">
        <v>0.99199999999999999</v>
      </c>
    </row>
    <row r="2162" spans="2:6" x14ac:dyDescent="0.2">
      <c r="B2162" s="9" t="s">
        <v>9355</v>
      </c>
      <c r="C2162" s="15" t="s">
        <v>9356</v>
      </c>
      <c r="D2162" s="12" t="str">
        <f>"1611-2156"</f>
        <v>1611-2156</v>
      </c>
      <c r="E2162" s="5">
        <v>4.0679999999999996</v>
      </c>
      <c r="F2162" s="5">
        <v>0.74199999999999999</v>
      </c>
    </row>
    <row r="2163" spans="2:6" x14ac:dyDescent="0.2">
      <c r="B2163" s="9" t="s">
        <v>5312</v>
      </c>
      <c r="C2163" s="15" t="s">
        <v>4173</v>
      </c>
      <c r="D2163" s="12" t="str">
        <f>"1077-5552"</f>
        <v>1077-5552</v>
      </c>
      <c r="E2163" s="5">
        <v>6.3079999999999998</v>
      </c>
      <c r="F2163" s="5">
        <v>0.95499999999999996</v>
      </c>
    </row>
    <row r="2164" spans="2:6" x14ac:dyDescent="0.2">
      <c r="B2164" s="9" t="s">
        <v>5313</v>
      </c>
      <c r="C2164" s="15" t="s">
        <v>4174</v>
      </c>
      <c r="D2164" s="12" t="str">
        <f>"0091-6331"</f>
        <v>0091-6331</v>
      </c>
      <c r="E2164" s="5">
        <v>6.23</v>
      </c>
      <c r="F2164" s="5">
        <v>0.94299999999999995</v>
      </c>
    </row>
    <row r="2165" spans="2:6" x14ac:dyDescent="0.2">
      <c r="B2165" s="9" t="s">
        <v>5314</v>
      </c>
      <c r="C2165" s="15" t="s">
        <v>4175</v>
      </c>
      <c r="D2165" s="12" t="str">
        <f>"0361-073X"</f>
        <v>0361-073X</v>
      </c>
      <c r="E2165" s="5">
        <v>1.645</v>
      </c>
      <c r="F2165" s="5">
        <v>0.221</v>
      </c>
    </row>
    <row r="2166" spans="2:6" x14ac:dyDescent="0.2">
      <c r="B2166" s="9" t="s">
        <v>5315</v>
      </c>
      <c r="C2166" s="15" t="s">
        <v>4176</v>
      </c>
      <c r="D2166" s="12" t="str">
        <f>"1341-1357"</f>
        <v>1341-1357</v>
      </c>
      <c r="E2166" s="5">
        <v>2.319</v>
      </c>
      <c r="F2166" s="5">
        <v>0.78700000000000003</v>
      </c>
    </row>
    <row r="2167" spans="2:6" x14ac:dyDescent="0.2">
      <c r="B2167" s="9" t="s">
        <v>5316</v>
      </c>
      <c r="C2167" s="15" t="s">
        <v>4177</v>
      </c>
      <c r="D2167" s="12" t="str">
        <f>"1535-3702"</f>
        <v>1535-3702</v>
      </c>
      <c r="E2167" s="5">
        <v>2.6909999999999998</v>
      </c>
      <c r="F2167" s="5">
        <v>0.32900000000000001</v>
      </c>
    </row>
    <row r="2168" spans="2:6" x14ac:dyDescent="0.2">
      <c r="B2168" s="9" t="s">
        <v>5317</v>
      </c>
      <c r="C2168" s="15" t="s">
        <v>4178</v>
      </c>
      <c r="D2168" s="12" t="str">
        <f>"0014-4819"</f>
        <v>0014-4819</v>
      </c>
      <c r="E2168" s="5">
        <v>1.972</v>
      </c>
      <c r="F2168" s="5">
        <v>0.14699999999999999</v>
      </c>
    </row>
    <row r="2169" spans="2:6" x14ac:dyDescent="0.2">
      <c r="B2169" s="9" t="s">
        <v>5318</v>
      </c>
      <c r="C2169" s="15" t="s">
        <v>4179</v>
      </c>
      <c r="D2169" s="12" t="str">
        <f>"0014-4827"</f>
        <v>0014-4827</v>
      </c>
      <c r="E2169" s="5">
        <v>3.9049999999999998</v>
      </c>
      <c r="F2169" s="5">
        <v>0.44800000000000001</v>
      </c>
    </row>
    <row r="2170" spans="2:6" x14ac:dyDescent="0.2">
      <c r="B2170" s="9" t="s">
        <v>5319</v>
      </c>
      <c r="C2170" s="15" t="s">
        <v>4180</v>
      </c>
      <c r="D2170" s="12" t="str">
        <f>"0947-7349"</f>
        <v>0947-7349</v>
      </c>
      <c r="E2170" s="5">
        <v>2.9489999999999998</v>
      </c>
      <c r="F2170" s="5">
        <v>0.30299999999999999</v>
      </c>
    </row>
    <row r="2171" spans="2:6" x14ac:dyDescent="0.2">
      <c r="B2171" s="9" t="s">
        <v>5320</v>
      </c>
      <c r="C2171" s="15" t="s">
        <v>4181</v>
      </c>
      <c r="D2171" s="12" t="str">
        <f>"1064-1297"</f>
        <v>1064-1297</v>
      </c>
      <c r="E2171" s="5">
        <v>3.157</v>
      </c>
      <c r="F2171" s="5">
        <v>0.64300000000000002</v>
      </c>
    </row>
    <row r="2172" spans="2:6" x14ac:dyDescent="0.2">
      <c r="B2172" s="9" t="s">
        <v>1129</v>
      </c>
      <c r="C2172" s="15" t="s">
        <v>1130</v>
      </c>
      <c r="D2172" s="12" t="str">
        <f>"1304-0855"</f>
        <v>1304-0855</v>
      </c>
      <c r="E2172" s="5">
        <v>0.94499999999999995</v>
      </c>
      <c r="F2172" s="5">
        <v>0.04</v>
      </c>
    </row>
    <row r="2173" spans="2:6" x14ac:dyDescent="0.2">
      <c r="B2173" s="9" t="s">
        <v>5321</v>
      </c>
      <c r="C2173" s="15" t="s">
        <v>4182</v>
      </c>
      <c r="D2173" s="12" t="str">
        <f>"0906-6705"</f>
        <v>0906-6705</v>
      </c>
      <c r="E2173" s="5">
        <v>3.96</v>
      </c>
      <c r="F2173" s="5">
        <v>0.73499999999999999</v>
      </c>
    </row>
    <row r="2174" spans="2:6" x14ac:dyDescent="0.2">
      <c r="B2174" s="9" t="s">
        <v>5335</v>
      </c>
      <c r="C2174" s="15" t="s">
        <v>4196</v>
      </c>
      <c r="D2174" s="12" t="str">
        <f>"1744-7682"</f>
        <v>1744-7682</v>
      </c>
      <c r="E2174" s="5">
        <v>4.3879999999999999</v>
      </c>
      <c r="F2174" s="5">
        <v>0.70899999999999996</v>
      </c>
    </row>
    <row r="2175" spans="2:6" x14ac:dyDescent="0.2">
      <c r="B2175" s="9" t="s">
        <v>1133</v>
      </c>
      <c r="C2175" s="15" t="s">
        <v>1134</v>
      </c>
      <c r="D2175" s="12" t="str">
        <f>"1742-5247"</f>
        <v>1742-5247</v>
      </c>
      <c r="E2175" s="5">
        <v>6.6479999999999997</v>
      </c>
      <c r="F2175" s="5">
        <v>0.92400000000000004</v>
      </c>
    </row>
    <row r="2176" spans="2:6" x14ac:dyDescent="0.2">
      <c r="B2176" s="9" t="s">
        <v>9357</v>
      </c>
      <c r="C2176" s="15" t="s">
        <v>9358</v>
      </c>
      <c r="D2176" s="12" t="str">
        <f>"1746-045X"</f>
        <v>1746-045X</v>
      </c>
      <c r="E2176" s="5">
        <v>6.0979999999999999</v>
      </c>
      <c r="F2176" s="5">
        <v>0.88700000000000001</v>
      </c>
    </row>
    <row r="2177" spans="2:6" x14ac:dyDescent="0.2">
      <c r="B2177" s="9" t="s">
        <v>1135</v>
      </c>
      <c r="C2177" s="15" t="s">
        <v>1136</v>
      </c>
      <c r="D2177" s="12" t="str">
        <f>"1742-5255"</f>
        <v>1742-5255</v>
      </c>
      <c r="E2177" s="5">
        <v>4.4809999999999999</v>
      </c>
      <c r="F2177" s="5">
        <v>0.77400000000000002</v>
      </c>
    </row>
    <row r="2178" spans="2:6" x14ac:dyDescent="0.2">
      <c r="B2178" s="9" t="s">
        <v>1137</v>
      </c>
      <c r="C2178" s="15" t="s">
        <v>1138</v>
      </c>
      <c r="D2178" s="12" t="str">
        <f>"1474-0338"</f>
        <v>1474-0338</v>
      </c>
      <c r="E2178" s="5">
        <v>4.25</v>
      </c>
      <c r="F2178" s="5">
        <v>0.66200000000000003</v>
      </c>
    </row>
    <row r="2179" spans="2:6" x14ac:dyDescent="0.2">
      <c r="B2179" s="9" t="s">
        <v>1139</v>
      </c>
      <c r="C2179" s="15" t="s">
        <v>1140</v>
      </c>
      <c r="D2179" s="12" t="str">
        <f>"1744-7623"</f>
        <v>1744-7623</v>
      </c>
      <c r="E2179" s="5">
        <v>4.1909999999999998</v>
      </c>
      <c r="F2179" s="5">
        <v>0.64700000000000002</v>
      </c>
    </row>
    <row r="2180" spans="2:6" x14ac:dyDescent="0.2">
      <c r="B2180" s="9" t="s">
        <v>5336</v>
      </c>
      <c r="C2180" s="15" t="s">
        <v>4197</v>
      </c>
      <c r="D2180" s="12" t="str">
        <f>"1744-7658"</f>
        <v>1744-7658</v>
      </c>
      <c r="E2180" s="5">
        <v>6.2060000000000004</v>
      </c>
      <c r="F2180" s="5">
        <v>0.89500000000000002</v>
      </c>
    </row>
    <row r="2181" spans="2:6" x14ac:dyDescent="0.2">
      <c r="B2181" s="9" t="s">
        <v>9359</v>
      </c>
      <c r="C2181" s="15" t="s">
        <v>9360</v>
      </c>
      <c r="D2181" s="12" t="str">
        <f>"2167-8707"</f>
        <v>2167-8707</v>
      </c>
      <c r="E2181" s="5">
        <v>0.69399999999999995</v>
      </c>
      <c r="F2181" s="5">
        <v>0.04</v>
      </c>
    </row>
    <row r="2182" spans="2:6" x14ac:dyDescent="0.2">
      <c r="B2182" s="9" t="s">
        <v>5337</v>
      </c>
      <c r="C2182" s="15" t="s">
        <v>4198</v>
      </c>
      <c r="D2182" s="12" t="str">
        <f>"1465-6566"</f>
        <v>1465-6566</v>
      </c>
      <c r="E2182" s="5">
        <v>3.8889999999999998</v>
      </c>
      <c r="F2182" s="5">
        <v>0.57799999999999996</v>
      </c>
    </row>
    <row r="2183" spans="2:6" x14ac:dyDescent="0.2">
      <c r="B2183" s="9" t="s">
        <v>5338</v>
      </c>
      <c r="C2183" s="15" t="s">
        <v>4199</v>
      </c>
      <c r="D2183" s="12" t="str">
        <f>"1354-3776"</f>
        <v>1354-3776</v>
      </c>
      <c r="E2183" s="5">
        <v>6.6740000000000004</v>
      </c>
      <c r="F2183" s="5">
        <v>0.95199999999999996</v>
      </c>
    </row>
    <row r="2184" spans="2:6" x14ac:dyDescent="0.2">
      <c r="B2184" s="9" t="s">
        <v>5339</v>
      </c>
      <c r="C2184" s="15" t="s">
        <v>4200</v>
      </c>
      <c r="D2184" s="12" t="str">
        <f>"1744-7631"</f>
        <v>1744-7631</v>
      </c>
      <c r="E2184" s="5">
        <v>6.9020000000000001</v>
      </c>
      <c r="F2184" s="5">
        <v>0.93500000000000005</v>
      </c>
    </row>
    <row r="2185" spans="2:6" x14ac:dyDescent="0.2">
      <c r="B2185" s="9" t="s">
        <v>1143</v>
      </c>
      <c r="C2185" s="15" t="s">
        <v>1144</v>
      </c>
      <c r="D2185" s="12" t="str">
        <f>"1473-7140"</f>
        <v>1473-7140</v>
      </c>
      <c r="E2185" s="5">
        <v>4.5119999999999996</v>
      </c>
      <c r="F2185" s="5">
        <v>0.57699999999999996</v>
      </c>
    </row>
    <row r="2186" spans="2:6" x14ac:dyDescent="0.2">
      <c r="B2186" s="9" t="s">
        <v>1141</v>
      </c>
      <c r="C2186" s="15" t="s">
        <v>1142</v>
      </c>
      <c r="D2186" s="12" t="str">
        <f>"1478-7210"</f>
        <v>1478-7210</v>
      </c>
      <c r="E2186" s="5">
        <v>5.0910000000000002</v>
      </c>
      <c r="F2186" s="5">
        <v>0.80400000000000005</v>
      </c>
    </row>
    <row r="2187" spans="2:6" x14ac:dyDescent="0.2">
      <c r="B2187" s="9" t="s">
        <v>9361</v>
      </c>
      <c r="C2187" s="15" t="s">
        <v>9362</v>
      </c>
      <c r="D2187" s="12" t="str">
        <f>"1744-8409"</f>
        <v>1744-8409</v>
      </c>
      <c r="E2187" s="5">
        <v>4.4729999999999999</v>
      </c>
      <c r="F2187" s="5">
        <v>0.56799999999999995</v>
      </c>
    </row>
    <row r="2188" spans="2:6" x14ac:dyDescent="0.2">
      <c r="B2188" s="9" t="s">
        <v>9363</v>
      </c>
      <c r="C2188" s="15" t="s">
        <v>9364</v>
      </c>
      <c r="D2188" s="12" t="str">
        <f>"1751-2433"</f>
        <v>1751-2433</v>
      </c>
      <c r="E2188" s="5">
        <v>5.0449999999999999</v>
      </c>
      <c r="F2188" s="5">
        <v>0.77100000000000002</v>
      </c>
    </row>
    <row r="2189" spans="2:6" x14ac:dyDescent="0.2">
      <c r="B2189" s="9" t="s">
        <v>9365</v>
      </c>
      <c r="C2189" s="15" t="s">
        <v>9366</v>
      </c>
      <c r="D2189" s="12" t="str">
        <f>"1747-4132"</f>
        <v>1747-4132</v>
      </c>
      <c r="E2189" s="5">
        <v>3.8690000000000002</v>
      </c>
      <c r="F2189" s="5">
        <v>0.5</v>
      </c>
    </row>
    <row r="2190" spans="2:6" x14ac:dyDescent="0.2">
      <c r="B2190" s="9" t="s">
        <v>9367</v>
      </c>
      <c r="C2190" s="15" t="s">
        <v>9368</v>
      </c>
      <c r="D2190" s="12" t="str">
        <f>"1747-4086"</f>
        <v>1747-4086</v>
      </c>
      <c r="E2190" s="5">
        <v>2.9289999999999998</v>
      </c>
      <c r="F2190" s="5">
        <v>0.35499999999999998</v>
      </c>
    </row>
    <row r="2191" spans="2:6" x14ac:dyDescent="0.2">
      <c r="B2191" s="9" t="s">
        <v>5340</v>
      </c>
      <c r="C2191" s="15" t="s">
        <v>4201</v>
      </c>
      <c r="D2191" s="12" t="str">
        <f>"1745-2422"</f>
        <v>1745-2422</v>
      </c>
      <c r="E2191" s="5">
        <v>3.1659999999999999</v>
      </c>
      <c r="F2191" s="5">
        <v>0.51700000000000002</v>
      </c>
    </row>
    <row r="2192" spans="2:6" x14ac:dyDescent="0.2">
      <c r="B2192" s="9" t="s">
        <v>5341</v>
      </c>
      <c r="C2192" s="15" t="s">
        <v>4202</v>
      </c>
      <c r="D2192" s="12" t="str">
        <f>"1473-7159"</f>
        <v>1473-7159</v>
      </c>
      <c r="E2192" s="5">
        <v>5.2249999999999996</v>
      </c>
      <c r="F2192" s="5">
        <v>0.79200000000000004</v>
      </c>
    </row>
    <row r="2193" spans="2:6" x14ac:dyDescent="0.2">
      <c r="B2193" s="9" t="s">
        <v>9369</v>
      </c>
      <c r="C2193" s="15" t="s">
        <v>9370</v>
      </c>
      <c r="D2193" s="12" t="str">
        <f>"1462-3994"</f>
        <v>1462-3994</v>
      </c>
      <c r="E2193" s="5">
        <v>5.6</v>
      </c>
      <c r="F2193" s="5">
        <v>0.76700000000000002</v>
      </c>
    </row>
    <row r="2194" spans="2:6" x14ac:dyDescent="0.2">
      <c r="B2194" s="9" t="s">
        <v>9371</v>
      </c>
      <c r="C2194" s="15" t="s">
        <v>9372</v>
      </c>
      <c r="D2194" s="12" t="str">
        <f>"1473-7175"</f>
        <v>1473-7175</v>
      </c>
      <c r="E2194" s="5">
        <v>4.6180000000000003</v>
      </c>
      <c r="F2194" s="5">
        <v>0.73099999999999998</v>
      </c>
    </row>
    <row r="2195" spans="2:6" x14ac:dyDescent="0.2">
      <c r="B2195" s="9" t="s">
        <v>9373</v>
      </c>
      <c r="C2195" s="15" t="s">
        <v>9374</v>
      </c>
      <c r="D2195" s="12" t="str">
        <f>"1744-8379"</f>
        <v>1744-8379</v>
      </c>
      <c r="E2195" s="5">
        <v>2.2170000000000001</v>
      </c>
      <c r="F2195" s="5">
        <v>0.33</v>
      </c>
    </row>
    <row r="2196" spans="2:6" x14ac:dyDescent="0.2">
      <c r="B2196" s="9" t="s">
        <v>5342</v>
      </c>
      <c r="C2196" s="15" t="s">
        <v>4203</v>
      </c>
      <c r="D2196" s="12" t="str">
        <f>"1744-8387"</f>
        <v>1744-8387</v>
      </c>
      <c r="E2196" s="5">
        <v>3.94</v>
      </c>
      <c r="F2196" s="5">
        <v>0.70099999999999996</v>
      </c>
    </row>
    <row r="2197" spans="2:6" x14ac:dyDescent="0.2">
      <c r="B2197" s="9" t="s">
        <v>9375</v>
      </c>
      <c r="C2197" s="15" t="s">
        <v>9376</v>
      </c>
      <c r="D2197" s="12" t="str">
        <f>"1747-6348"</f>
        <v>1747-6348</v>
      </c>
      <c r="E2197" s="5">
        <v>3.7719999999999998</v>
      </c>
      <c r="F2197" s="5">
        <v>0.65600000000000003</v>
      </c>
    </row>
    <row r="2198" spans="2:6" x14ac:dyDescent="0.2">
      <c r="B2198" s="9" t="s">
        <v>1145</v>
      </c>
      <c r="C2198" s="15" t="s">
        <v>1146</v>
      </c>
      <c r="D2198" s="12" t="str">
        <f>"1744-8395"</f>
        <v>1744-8395</v>
      </c>
      <c r="E2198" s="5">
        <v>5.2169999999999996</v>
      </c>
      <c r="F2198" s="5">
        <v>0.66</v>
      </c>
    </row>
    <row r="2199" spans="2:6" x14ac:dyDescent="0.2">
      <c r="B2199" s="9" t="s">
        <v>5322</v>
      </c>
      <c r="C2199" s="15" t="s">
        <v>4183</v>
      </c>
      <c r="D2199" s="12" t="str">
        <f>"0014-4835"</f>
        <v>0014-4835</v>
      </c>
      <c r="E2199" s="5">
        <v>3.4670000000000001</v>
      </c>
      <c r="F2199" s="5">
        <v>0.74199999999999999</v>
      </c>
    </row>
    <row r="2200" spans="2:6" x14ac:dyDescent="0.2">
      <c r="B2200" s="9" t="s">
        <v>5323</v>
      </c>
      <c r="C2200" s="15" t="s">
        <v>4184</v>
      </c>
      <c r="D2200" s="12" t="str">
        <f>"0723-4864"</f>
        <v>0723-4864</v>
      </c>
      <c r="E2200" s="5">
        <v>2.48</v>
      </c>
      <c r="F2200" s="5">
        <v>0.57099999999999995</v>
      </c>
    </row>
    <row r="2201" spans="2:6" x14ac:dyDescent="0.2">
      <c r="B2201" s="9" t="s">
        <v>5324</v>
      </c>
      <c r="C2201" s="15" t="s">
        <v>4185</v>
      </c>
      <c r="D2201" s="12" t="str">
        <f>"0531-5565"</f>
        <v>0531-5565</v>
      </c>
      <c r="E2201" s="5">
        <v>4.032</v>
      </c>
      <c r="F2201" s="5">
        <v>0.58499999999999996</v>
      </c>
    </row>
    <row r="2202" spans="2:6" x14ac:dyDescent="0.2">
      <c r="B2202" s="9" t="s">
        <v>5325</v>
      </c>
      <c r="C2202" s="15" t="s">
        <v>4186</v>
      </c>
      <c r="D2202" s="12" t="str">
        <f>"0891-6152"</f>
        <v>0891-6152</v>
      </c>
      <c r="E2202" s="5">
        <v>4.0579999999999998</v>
      </c>
      <c r="F2202" s="5">
        <v>0.83299999999999996</v>
      </c>
    </row>
    <row r="2203" spans="2:6" x14ac:dyDescent="0.2">
      <c r="B2203" s="9" t="s">
        <v>5326</v>
      </c>
      <c r="C2203" s="15" t="s">
        <v>4187</v>
      </c>
      <c r="D2203" s="12" t="str">
        <f>"0301-472X"</f>
        <v>0301-472X</v>
      </c>
      <c r="E2203" s="5">
        <v>3.0840000000000001</v>
      </c>
      <c r="F2203" s="5">
        <v>0.42099999999999999</v>
      </c>
    </row>
    <row r="2204" spans="2:6" x14ac:dyDescent="0.2">
      <c r="B2204" s="9" t="s">
        <v>9377</v>
      </c>
      <c r="C2204" s="15" t="s">
        <v>9378</v>
      </c>
      <c r="D2204" s="12" t="str">
        <f>"2162-3619"</f>
        <v>2162-3619</v>
      </c>
      <c r="E2204" s="5">
        <v>5.133</v>
      </c>
      <c r="F2204" s="5">
        <v>0.69699999999999995</v>
      </c>
    </row>
    <row r="2205" spans="2:6" x14ac:dyDescent="0.2">
      <c r="B2205" s="9" t="s">
        <v>5343</v>
      </c>
      <c r="C2205" s="15" t="s">
        <v>4204</v>
      </c>
      <c r="D2205" s="12" t="str">
        <f>"1550-8307"</f>
        <v>1550-8307</v>
      </c>
      <c r="E2205" s="5">
        <v>1.7749999999999999</v>
      </c>
      <c r="F2205" s="5">
        <v>0.35699999999999998</v>
      </c>
    </row>
    <row r="2206" spans="2:6" x14ac:dyDescent="0.2">
      <c r="B2206" s="9" t="s">
        <v>5327</v>
      </c>
      <c r="C2206" s="15" t="s">
        <v>4188</v>
      </c>
      <c r="D2206" s="12" t="str">
        <f>"0190-2148"</f>
        <v>0190-2148</v>
      </c>
      <c r="E2206" s="5">
        <v>2.4590000000000001</v>
      </c>
      <c r="F2206" s="5">
        <v>0.25</v>
      </c>
    </row>
    <row r="2207" spans="2:6" x14ac:dyDescent="0.2">
      <c r="B2207" s="9" t="s">
        <v>5328</v>
      </c>
      <c r="C2207" s="15" t="s">
        <v>4189</v>
      </c>
      <c r="D2207" s="12" t="str">
        <f>"1226-3613"</f>
        <v>1226-3613</v>
      </c>
      <c r="E2207" s="5">
        <v>8.718</v>
      </c>
      <c r="F2207" s="5">
        <v>0.90700000000000003</v>
      </c>
    </row>
    <row r="2208" spans="2:6" x14ac:dyDescent="0.2">
      <c r="B2208" s="9" t="s">
        <v>5329</v>
      </c>
      <c r="C2208" s="15" t="s">
        <v>4190</v>
      </c>
      <c r="D2208" s="12" t="str">
        <f>"0014-4800"</f>
        <v>0014-4800</v>
      </c>
      <c r="E2208" s="5">
        <v>3.3620000000000001</v>
      </c>
      <c r="F2208" s="5">
        <v>0.61</v>
      </c>
    </row>
    <row r="2209" spans="2:6" x14ac:dyDescent="0.2">
      <c r="B2209" s="9" t="s">
        <v>9379</v>
      </c>
      <c r="C2209" s="15" t="s">
        <v>9380</v>
      </c>
      <c r="D2209" s="12" t="str">
        <f>"1226-2560"</f>
        <v>1226-2560</v>
      </c>
      <c r="E2209" s="5">
        <v>3.2610000000000001</v>
      </c>
      <c r="F2209" s="5">
        <v>0.4</v>
      </c>
    </row>
    <row r="2210" spans="2:6" x14ac:dyDescent="0.2">
      <c r="B2210" s="9" t="s">
        <v>5330</v>
      </c>
      <c r="C2210" s="15" t="s">
        <v>4191</v>
      </c>
      <c r="D2210" s="12" t="str">
        <f>"0014-4886"</f>
        <v>0014-4886</v>
      </c>
      <c r="E2210" s="5">
        <v>5.33</v>
      </c>
      <c r="F2210" s="5">
        <v>0.751</v>
      </c>
    </row>
    <row r="2211" spans="2:6" x14ac:dyDescent="0.2">
      <c r="B2211" s="9" t="s">
        <v>5331</v>
      </c>
      <c r="C2211" s="15" t="s">
        <v>4192</v>
      </c>
      <c r="D2211" s="12" t="str">
        <f>"0014-4894"</f>
        <v>0014-4894</v>
      </c>
      <c r="E2211" s="5">
        <v>2.0110000000000001</v>
      </c>
      <c r="F2211" s="5">
        <v>0.39500000000000002</v>
      </c>
    </row>
    <row r="2212" spans="2:6" x14ac:dyDescent="0.2">
      <c r="B2212" s="9" t="s">
        <v>5332</v>
      </c>
      <c r="C2212" s="15" t="s">
        <v>4193</v>
      </c>
      <c r="D2212" s="12" t="str">
        <f>"1469-445X"</f>
        <v>1469-445X</v>
      </c>
      <c r="E2212" s="5">
        <v>2.9689999999999999</v>
      </c>
      <c r="F2212" s="5">
        <v>0.54300000000000004</v>
      </c>
    </row>
    <row r="2213" spans="2:6" x14ac:dyDescent="0.2">
      <c r="B2213" s="9" t="s">
        <v>1131</v>
      </c>
      <c r="C2213" s="15" t="s">
        <v>1132</v>
      </c>
      <c r="D2213" s="12" t="str">
        <f>"1618-3169"</f>
        <v>1618-3169</v>
      </c>
      <c r="E2213" s="5">
        <v>1.355</v>
      </c>
      <c r="F2213" s="5">
        <v>0.111</v>
      </c>
    </row>
    <row r="2214" spans="2:6" x14ac:dyDescent="0.2">
      <c r="B2214" s="9" t="s">
        <v>5333</v>
      </c>
      <c r="C2214" s="15" t="s">
        <v>4194</v>
      </c>
      <c r="D2214" s="12" t="str">
        <f>"0732-8818"</f>
        <v>0732-8818</v>
      </c>
      <c r="E2214" s="5">
        <v>1.167</v>
      </c>
      <c r="F2214" s="5">
        <v>0.219</v>
      </c>
    </row>
    <row r="2215" spans="2:6" x14ac:dyDescent="0.2">
      <c r="B2215" s="9" t="s">
        <v>9381</v>
      </c>
      <c r="C2215" s="15" t="s">
        <v>9382</v>
      </c>
      <c r="D2215" s="12" t="str">
        <f>"1792-0981"</f>
        <v>1792-0981</v>
      </c>
      <c r="E2215" s="5">
        <v>2.4470000000000001</v>
      </c>
      <c r="F2215" s="5">
        <v>0.26400000000000001</v>
      </c>
    </row>
    <row r="2216" spans="2:6" x14ac:dyDescent="0.2">
      <c r="B2216" s="9" t="s">
        <v>5334</v>
      </c>
      <c r="C2216" s="15" t="s">
        <v>4195</v>
      </c>
      <c r="D2216" s="12" t="str">
        <f>"0894-1777"</f>
        <v>0894-1777</v>
      </c>
      <c r="E2216" s="5">
        <v>3.2320000000000002</v>
      </c>
      <c r="F2216" s="5">
        <v>0.82399999999999995</v>
      </c>
    </row>
    <row r="2217" spans="2:6" x14ac:dyDescent="0.2">
      <c r="B2217" s="9" t="s">
        <v>9383</v>
      </c>
      <c r="C2217" s="15" t="s">
        <v>9384</v>
      </c>
      <c r="D2217" s="12" t="str">
        <f>"1386-1999"</f>
        <v>1386-1999</v>
      </c>
      <c r="E2217" s="5">
        <v>1.407</v>
      </c>
      <c r="F2217" s="5">
        <v>0.46400000000000002</v>
      </c>
    </row>
    <row r="2218" spans="2:6" x14ac:dyDescent="0.2">
      <c r="B2218" s="9" t="s">
        <v>5344</v>
      </c>
      <c r="C2218" s="15" t="s">
        <v>5344</v>
      </c>
      <c r="D2218" s="12" t="str">
        <f>"1431-0651"</f>
        <v>1431-0651</v>
      </c>
      <c r="E2218" s="5">
        <v>2.395</v>
      </c>
      <c r="F2218" s="5">
        <v>0.223</v>
      </c>
    </row>
    <row r="2219" spans="2:6" x14ac:dyDescent="0.2">
      <c r="B2219" s="9" t="s">
        <v>5345</v>
      </c>
      <c r="C2219" s="15" t="s">
        <v>5345</v>
      </c>
      <c r="D2219" s="12" t="str">
        <f>"0950-222X"</f>
        <v>0950-222X</v>
      </c>
      <c r="E2219" s="5">
        <v>3.7749999999999999</v>
      </c>
      <c r="F2219" s="5">
        <v>0.82299999999999995</v>
      </c>
    </row>
    <row r="2220" spans="2:6" x14ac:dyDescent="0.2">
      <c r="B2220" s="9" t="s">
        <v>9385</v>
      </c>
      <c r="C2220" s="15" t="s">
        <v>9386</v>
      </c>
      <c r="D2220" s="12" t="str">
        <f>"1542-2321"</f>
        <v>1542-2321</v>
      </c>
      <c r="E2220" s="5">
        <v>2.0179999999999998</v>
      </c>
      <c r="F2220" s="5">
        <v>0.33900000000000002</v>
      </c>
    </row>
    <row r="2221" spans="2:6" x14ac:dyDescent="0.2">
      <c r="B2221" s="9" t="s">
        <v>9387</v>
      </c>
      <c r="C2221" s="15" t="s">
        <v>9388</v>
      </c>
      <c r="D2221" s="12" t="str">
        <f>"2326-0254"</f>
        <v>2326-0254</v>
      </c>
      <c r="E2221" s="5">
        <v>3.2570000000000001</v>
      </c>
      <c r="F2221" s="5">
        <v>0.69399999999999995</v>
      </c>
    </row>
    <row r="2222" spans="2:6" x14ac:dyDescent="0.2">
      <c r="B2222" s="9" t="s">
        <v>9389</v>
      </c>
      <c r="C2222" s="15" t="s">
        <v>9390</v>
      </c>
      <c r="D2222" s="12" t="str">
        <f>"2371-1671"</f>
        <v>2371-1671</v>
      </c>
      <c r="E2222" s="5">
        <v>2.5350000000000001</v>
      </c>
      <c r="F2222" s="5">
        <v>0.5</v>
      </c>
    </row>
    <row r="2223" spans="2:6" x14ac:dyDescent="0.2">
      <c r="B2223" s="9" t="s">
        <v>1147</v>
      </c>
      <c r="C2223" s="15" t="s">
        <v>1148</v>
      </c>
      <c r="D2223" s="12" t="str">
        <f>"1098-8793"</f>
        <v>1098-8793</v>
      </c>
      <c r="E2223" s="5">
        <v>1.446</v>
      </c>
      <c r="F2223" s="5">
        <v>0.19</v>
      </c>
    </row>
    <row r="2224" spans="2:6" x14ac:dyDescent="0.2">
      <c r="B2224" s="9" t="s">
        <v>9391</v>
      </c>
      <c r="C2224" s="15" t="s">
        <v>9392</v>
      </c>
      <c r="D2224" s="12" t="str">
        <f>"1064-7406"</f>
        <v>1064-7406</v>
      </c>
      <c r="E2224" s="5">
        <v>1.9179999999999999</v>
      </c>
      <c r="F2224" s="5">
        <v>0.36199999999999999</v>
      </c>
    </row>
    <row r="2225" spans="2:6" x14ac:dyDescent="0.2">
      <c r="B2225" s="9" t="s">
        <v>9393</v>
      </c>
      <c r="C2225" s="15" t="s">
        <v>9394</v>
      </c>
      <c r="D2225" s="12" t="str">
        <f>"0354-2025"</f>
        <v>0354-2025</v>
      </c>
      <c r="E2225" s="5">
        <v>3.3239999999999998</v>
      </c>
      <c r="F2225" s="5">
        <v>0.69899999999999995</v>
      </c>
    </row>
    <row r="2226" spans="2:6" x14ac:dyDescent="0.2">
      <c r="B2226" s="9" t="s">
        <v>1149</v>
      </c>
      <c r="C2226" s="15" t="s">
        <v>1150</v>
      </c>
      <c r="D2226" s="12" t="str">
        <f>"1389-9600"</f>
        <v>1389-9600</v>
      </c>
      <c r="E2226" s="5">
        <v>2.375</v>
      </c>
      <c r="F2226" s="5">
        <v>0.309</v>
      </c>
    </row>
    <row r="2227" spans="2:6" x14ac:dyDescent="0.2">
      <c r="B2227" s="9" t="s">
        <v>1151</v>
      </c>
      <c r="C2227" s="15" t="s">
        <v>1152</v>
      </c>
      <c r="D2227" s="12" t="str">
        <f>"0160-6379"</f>
        <v>0160-6379</v>
      </c>
      <c r="E2227" s="5">
        <v>1.4239999999999999</v>
      </c>
      <c r="F2227" s="5">
        <v>0.32600000000000001</v>
      </c>
    </row>
    <row r="2228" spans="2:6" x14ac:dyDescent="0.2">
      <c r="B2228" s="9" t="s">
        <v>5346</v>
      </c>
      <c r="C2228" s="15" t="s">
        <v>4205</v>
      </c>
      <c r="D2228" s="12" t="str">
        <f>"0742-3225"</f>
        <v>0742-3225</v>
      </c>
      <c r="E2228" s="5">
        <v>1.756</v>
      </c>
      <c r="F2228" s="5">
        <v>0.38300000000000001</v>
      </c>
    </row>
    <row r="2229" spans="2:6" x14ac:dyDescent="0.2">
      <c r="B2229" s="9" t="s">
        <v>5347</v>
      </c>
      <c r="C2229" s="15" t="s">
        <v>4206</v>
      </c>
      <c r="D2229" s="12" t="str">
        <f>"0263-2136"</f>
        <v>0263-2136</v>
      </c>
      <c r="E2229" s="5">
        <v>2.2669999999999999</v>
      </c>
      <c r="F2229" s="5">
        <v>0.47899999999999998</v>
      </c>
    </row>
    <row r="2230" spans="2:6" x14ac:dyDescent="0.2">
      <c r="B2230" s="9" t="s">
        <v>1153</v>
      </c>
      <c r="C2230" s="15" t="s">
        <v>1154</v>
      </c>
      <c r="D2230" s="12" t="str">
        <f>"1545-5300"</f>
        <v>1545-5300</v>
      </c>
      <c r="E2230" s="5">
        <v>3.532</v>
      </c>
      <c r="F2230" s="5">
        <v>0.84799999999999998</v>
      </c>
    </row>
    <row r="2231" spans="2:6" x14ac:dyDescent="0.2">
      <c r="B2231" s="9" t="s">
        <v>9395</v>
      </c>
      <c r="C2231" s="15" t="s">
        <v>9396</v>
      </c>
      <c r="D2231" s="12" t="str">
        <f>"1091-7527"</f>
        <v>1091-7527</v>
      </c>
      <c r="E2231" s="5">
        <v>1.95</v>
      </c>
      <c r="F2231" s="5">
        <v>0.39100000000000001</v>
      </c>
    </row>
    <row r="2232" spans="2:6" x14ac:dyDescent="0.2">
      <c r="B2232" s="9" t="s">
        <v>1155</v>
      </c>
      <c r="C2232" s="15" t="s">
        <v>1155</v>
      </c>
      <c r="D2232" s="12" t="str">
        <f>"0014-8237"</f>
        <v>0014-8237</v>
      </c>
      <c r="E2232" s="5">
        <v>1.4330000000000001</v>
      </c>
      <c r="F2232" s="5">
        <v>0.10199999999999999</v>
      </c>
    </row>
    <row r="2233" spans="2:6" x14ac:dyDescent="0.2">
      <c r="B2233" s="9" t="s">
        <v>5348</v>
      </c>
      <c r="C2233" s="15" t="s">
        <v>4207</v>
      </c>
      <c r="D2233" s="12" t="str">
        <f>"0892-6638"</f>
        <v>0892-6638</v>
      </c>
      <c r="E2233" s="5">
        <v>5.1909999999999998</v>
      </c>
      <c r="F2233" s="5">
        <v>0.86</v>
      </c>
    </row>
    <row r="2234" spans="2:6" x14ac:dyDescent="0.2">
      <c r="B2234" s="9" t="s">
        <v>5349</v>
      </c>
      <c r="C2234" s="15" t="s">
        <v>4208</v>
      </c>
      <c r="D2234" s="12" t="str">
        <f>"8756-758X"</f>
        <v>8756-758X</v>
      </c>
      <c r="E2234" s="5">
        <v>3.4590000000000001</v>
      </c>
      <c r="F2234" s="5">
        <v>0.72899999999999998</v>
      </c>
    </row>
    <row r="2235" spans="2:6" x14ac:dyDescent="0.2">
      <c r="B2235" s="9" t="s">
        <v>5350</v>
      </c>
      <c r="C2235" s="15" t="s">
        <v>4209</v>
      </c>
      <c r="D2235" s="12" t="str">
        <f>"1742-464X"</f>
        <v>1742-464X</v>
      </c>
      <c r="E2235" s="5">
        <v>5.5419999999999998</v>
      </c>
      <c r="F2235" s="5">
        <v>0.76</v>
      </c>
    </row>
    <row r="2236" spans="2:6" x14ac:dyDescent="0.2">
      <c r="B2236" s="9" t="s">
        <v>5351</v>
      </c>
      <c r="C2236" s="15" t="s">
        <v>4210</v>
      </c>
      <c r="D2236" s="12" t="str">
        <f>"1873-3468"</f>
        <v>1873-3468</v>
      </c>
      <c r="E2236" s="5">
        <v>4.1239999999999997</v>
      </c>
      <c r="F2236" s="5">
        <v>0.77500000000000002</v>
      </c>
    </row>
    <row r="2237" spans="2:6" x14ac:dyDescent="0.2">
      <c r="B2237" s="9" t="s">
        <v>9397</v>
      </c>
      <c r="C2237" s="15" t="s">
        <v>9398</v>
      </c>
      <c r="D2237" s="12" t="str">
        <f>"2211-5463"</f>
        <v>2211-5463</v>
      </c>
      <c r="E2237" s="5">
        <v>2.6930000000000001</v>
      </c>
      <c r="F2237" s="5">
        <v>0.27700000000000002</v>
      </c>
    </row>
    <row r="2238" spans="2:6" x14ac:dyDescent="0.2">
      <c r="B2238" s="9" t="s">
        <v>9399</v>
      </c>
      <c r="C2238" s="15" t="s">
        <v>9400</v>
      </c>
      <c r="D2238" s="12" t="str">
        <f>"2151-8378"</f>
        <v>2151-8378</v>
      </c>
      <c r="E2238" s="5">
        <v>2.0910000000000002</v>
      </c>
      <c r="F2238" s="5">
        <v>0.28899999999999998</v>
      </c>
    </row>
    <row r="2239" spans="2:6" x14ac:dyDescent="0.2">
      <c r="B2239" s="9" t="s">
        <v>1156</v>
      </c>
      <c r="C2239" s="15" t="s">
        <v>1157</v>
      </c>
      <c r="D2239" s="12" t="str">
        <f>"1354-5701"</f>
        <v>1354-5701</v>
      </c>
      <c r="E2239" s="5">
        <v>1.8</v>
      </c>
      <c r="F2239" s="5">
        <v>0.52300000000000002</v>
      </c>
    </row>
    <row r="2240" spans="2:6" x14ac:dyDescent="0.2">
      <c r="B2240" s="9" t="s">
        <v>9401</v>
      </c>
      <c r="C2240" s="15" t="s">
        <v>9402</v>
      </c>
      <c r="D2240" s="12" t="str">
        <f>"0723-5186"</f>
        <v>0723-5186</v>
      </c>
      <c r="E2240" s="5">
        <v>0.12</v>
      </c>
      <c r="F2240" s="5">
        <v>2.3E-2</v>
      </c>
    </row>
    <row r="2241" spans="2:6" x14ac:dyDescent="0.2">
      <c r="B2241" s="9" t="s">
        <v>1160</v>
      </c>
      <c r="C2241" s="15" t="s">
        <v>1161</v>
      </c>
      <c r="D2241" s="12" t="str">
        <f>"0141-7789"</f>
        <v>0141-7789</v>
      </c>
      <c r="E2241" s="5">
        <v>1.675</v>
      </c>
      <c r="F2241" s="5">
        <v>0.47699999999999998</v>
      </c>
    </row>
    <row r="2242" spans="2:6" x14ac:dyDescent="0.2">
      <c r="B2242" s="9" t="s">
        <v>9403</v>
      </c>
      <c r="C2242" s="15" t="s">
        <v>9404</v>
      </c>
      <c r="D2242" s="12" t="str">
        <f>"0966-3622"</f>
        <v>0966-3622</v>
      </c>
      <c r="E2242" s="5">
        <v>2.2589999999999999</v>
      </c>
      <c r="F2242" s="5">
        <v>0.80100000000000005</v>
      </c>
    </row>
    <row r="2243" spans="2:6" x14ac:dyDescent="0.2">
      <c r="B2243" s="9" t="s">
        <v>1158</v>
      </c>
      <c r="C2243" s="15" t="s">
        <v>1159</v>
      </c>
      <c r="D2243" s="12" t="str">
        <f>"0959-3535"</f>
        <v>0959-3535</v>
      </c>
      <c r="E2243" s="5">
        <v>3.3769999999999998</v>
      </c>
      <c r="F2243" s="5">
        <v>0.90900000000000003</v>
      </c>
    </row>
    <row r="2244" spans="2:6" x14ac:dyDescent="0.2">
      <c r="B2244" s="9" t="s">
        <v>5352</v>
      </c>
      <c r="C2244" s="15" t="s">
        <v>4211</v>
      </c>
      <c r="D2244" s="12" t="str">
        <f>"1574-6941"</f>
        <v>1574-6941</v>
      </c>
      <c r="E2244" s="5">
        <v>4.194</v>
      </c>
      <c r="F2244" s="5">
        <v>0.63700000000000001</v>
      </c>
    </row>
    <row r="2245" spans="2:6" x14ac:dyDescent="0.2">
      <c r="B2245" s="9" t="s">
        <v>5353</v>
      </c>
      <c r="C2245" s="15" t="s">
        <v>4212</v>
      </c>
      <c r="D2245" s="12" t="str">
        <f>"0378-1097"</f>
        <v>0378-1097</v>
      </c>
      <c r="E2245" s="5">
        <v>2.742</v>
      </c>
      <c r="F2245" s="5">
        <v>0.30399999999999999</v>
      </c>
    </row>
    <row r="2246" spans="2:6" x14ac:dyDescent="0.2">
      <c r="B2246" s="9" t="s">
        <v>5354</v>
      </c>
      <c r="C2246" s="15" t="s">
        <v>4213</v>
      </c>
      <c r="D2246" s="12" t="str">
        <f>"0168-6445"</f>
        <v>0168-6445</v>
      </c>
      <c r="E2246" s="5">
        <v>16.408000000000001</v>
      </c>
      <c r="F2246" s="5">
        <v>0.96299999999999997</v>
      </c>
    </row>
    <row r="2247" spans="2:6" x14ac:dyDescent="0.2">
      <c r="B2247" s="9" t="s">
        <v>5355</v>
      </c>
      <c r="C2247" s="15" t="s">
        <v>4214</v>
      </c>
      <c r="D2247" s="12" t="str">
        <f>"1567-1356"</f>
        <v>1567-1356</v>
      </c>
      <c r="E2247" s="5">
        <v>2.7959999999999998</v>
      </c>
      <c r="F2247" s="5">
        <v>0.40500000000000003</v>
      </c>
    </row>
    <row r="2248" spans="2:6" x14ac:dyDescent="0.2">
      <c r="B2248" s="9" t="s">
        <v>9405</v>
      </c>
      <c r="C2248" s="15" t="s">
        <v>9406</v>
      </c>
      <c r="D2248" s="12" t="str">
        <f>"1464-7001"</f>
        <v>1464-7001</v>
      </c>
      <c r="E2248" s="5">
        <v>0.86399999999999999</v>
      </c>
      <c r="F2248" s="5">
        <v>0.25</v>
      </c>
    </row>
    <row r="2249" spans="2:6" x14ac:dyDescent="0.2">
      <c r="B2249" s="9" t="s">
        <v>9407</v>
      </c>
      <c r="C2249" s="15" t="s">
        <v>9408</v>
      </c>
      <c r="D2249" s="12" t="str">
        <f>"2311-5637"</f>
        <v>2311-5637</v>
      </c>
      <c r="E2249" s="5">
        <v>3.9750000000000001</v>
      </c>
      <c r="F2249" s="5">
        <v>0.65200000000000002</v>
      </c>
    </row>
    <row r="2250" spans="2:6" x14ac:dyDescent="0.2">
      <c r="B2250" s="9" t="s">
        <v>5356</v>
      </c>
      <c r="C2250" s="15" t="s">
        <v>4215</v>
      </c>
      <c r="D2250" s="12" t="str">
        <f>"0015-0282"</f>
        <v>0015-0282</v>
      </c>
      <c r="E2250" s="5">
        <v>7.3289999999999997</v>
      </c>
      <c r="F2250" s="5">
        <v>0.96699999999999997</v>
      </c>
    </row>
    <row r="2251" spans="2:6" x14ac:dyDescent="0.2">
      <c r="B2251" s="9" t="s">
        <v>5357</v>
      </c>
      <c r="C2251" s="15" t="s">
        <v>4216</v>
      </c>
      <c r="D2251" s="12" t="str">
        <f>"1015-3837"</f>
        <v>1015-3837</v>
      </c>
      <c r="E2251" s="5">
        <v>2.5870000000000002</v>
      </c>
      <c r="F2251" s="5">
        <v>0.44600000000000001</v>
      </c>
    </row>
    <row r="2252" spans="2:6" x14ac:dyDescent="0.2">
      <c r="B2252" s="9" t="s">
        <v>5358</v>
      </c>
      <c r="C2252" s="15" t="s">
        <v>4217</v>
      </c>
      <c r="D2252" s="12" t="str">
        <f>"1551-3815"</f>
        <v>1551-3815</v>
      </c>
      <c r="E2252" s="5">
        <v>0.95799999999999996</v>
      </c>
      <c r="F2252" s="5">
        <v>0.104</v>
      </c>
    </row>
    <row r="2253" spans="2:6" x14ac:dyDescent="0.2">
      <c r="B2253" s="9" t="s">
        <v>5359</v>
      </c>
      <c r="C2253" s="15" t="s">
        <v>4218</v>
      </c>
      <c r="D2253" s="12" t="str">
        <f>"0146-8030"</f>
        <v>0146-8030</v>
      </c>
      <c r="E2253" s="5">
        <v>1.087</v>
      </c>
      <c r="F2253" s="5">
        <v>0.182</v>
      </c>
    </row>
    <row r="2254" spans="2:6" x14ac:dyDescent="0.2">
      <c r="B2254" s="9" t="s">
        <v>5360</v>
      </c>
      <c r="C2254" s="15" t="s">
        <v>4219</v>
      </c>
      <c r="D2254" s="12" t="str">
        <f>"0015-0541"</f>
        <v>0015-0541</v>
      </c>
      <c r="E2254" s="5">
        <v>0.876</v>
      </c>
      <c r="F2254" s="5">
        <v>0.32</v>
      </c>
    </row>
    <row r="2255" spans="2:6" x14ac:dyDescent="0.2">
      <c r="B2255" s="9" t="s">
        <v>9409</v>
      </c>
      <c r="C2255" s="15" t="s">
        <v>9410</v>
      </c>
      <c r="D2255" s="12" t="str">
        <f>"1525-822X"</f>
        <v>1525-822X</v>
      </c>
      <c r="E2255" s="5">
        <v>1.413</v>
      </c>
      <c r="F2255" s="5">
        <v>0.54500000000000004</v>
      </c>
    </row>
    <row r="2256" spans="2:6" x14ac:dyDescent="0.2">
      <c r="B2256" s="9" t="s">
        <v>5361</v>
      </c>
      <c r="C2256" s="15" t="s">
        <v>4220</v>
      </c>
      <c r="D2256" s="12" t="str">
        <f>"0949-2984"</f>
        <v>0949-2984</v>
      </c>
      <c r="E2256" s="5">
        <v>2.4670000000000001</v>
      </c>
      <c r="F2256" s="5">
        <v>0.77600000000000002</v>
      </c>
    </row>
    <row r="2257" spans="2:6" x14ac:dyDescent="0.2">
      <c r="B2257" s="9" t="s">
        <v>9411</v>
      </c>
      <c r="C2257" s="15" t="s">
        <v>9412</v>
      </c>
      <c r="D2257" s="12" t="str">
        <f>"0142-7237"</f>
        <v>0142-7237</v>
      </c>
      <c r="E2257" s="5">
        <v>1.3280000000000001</v>
      </c>
      <c r="F2257" s="5">
        <v>0.54200000000000004</v>
      </c>
    </row>
    <row r="2258" spans="2:6" x14ac:dyDescent="0.2">
      <c r="B2258" s="9" t="s">
        <v>5362</v>
      </c>
      <c r="C2258" s="15" t="s">
        <v>4221</v>
      </c>
      <c r="D2258" s="12" t="str">
        <f>"0388-788X"</f>
        <v>0388-788X</v>
      </c>
      <c r="E2258" s="5">
        <v>0.6</v>
      </c>
      <c r="F2258" s="5">
        <v>0.21199999999999999</v>
      </c>
    </row>
    <row r="2259" spans="2:6" x14ac:dyDescent="0.2">
      <c r="B2259" s="9" t="s">
        <v>5363</v>
      </c>
      <c r="C2259" s="15" t="s">
        <v>4222</v>
      </c>
      <c r="D2259" s="12" t="str">
        <f>"0920-1742"</f>
        <v>0920-1742</v>
      </c>
      <c r="E2259" s="5">
        <v>2.794</v>
      </c>
      <c r="F2259" s="5">
        <v>0.745</v>
      </c>
    </row>
    <row r="2260" spans="2:6" x14ac:dyDescent="0.2">
      <c r="B2260" s="9" t="s">
        <v>5364</v>
      </c>
      <c r="C2260" s="15" t="s">
        <v>4223</v>
      </c>
      <c r="D2260" s="12" t="str">
        <f>"1050-4648"</f>
        <v>1050-4648</v>
      </c>
      <c r="E2260" s="5">
        <v>4.5810000000000004</v>
      </c>
      <c r="F2260" s="5">
        <v>0.97299999999999998</v>
      </c>
    </row>
    <row r="2261" spans="2:6" x14ac:dyDescent="0.2">
      <c r="B2261" s="9" t="s">
        <v>5365</v>
      </c>
      <c r="C2261" s="15" t="s">
        <v>5365</v>
      </c>
      <c r="D2261" s="12" t="str">
        <f>"0367-326X"</f>
        <v>0367-326X</v>
      </c>
      <c r="E2261" s="5">
        <v>2.8820000000000001</v>
      </c>
      <c r="F2261" s="5">
        <v>0.38700000000000001</v>
      </c>
    </row>
    <row r="2262" spans="2:6" x14ac:dyDescent="0.2">
      <c r="B2262" s="9" t="s">
        <v>5366</v>
      </c>
      <c r="C2262" s="15" t="s">
        <v>4224</v>
      </c>
      <c r="D2262" s="12" t="str">
        <f>"0955-5986"</f>
        <v>0955-5986</v>
      </c>
      <c r="E2262" s="5">
        <v>2.0369999999999999</v>
      </c>
      <c r="F2262" s="5">
        <v>0.45900000000000002</v>
      </c>
    </row>
    <row r="2263" spans="2:6" x14ac:dyDescent="0.2">
      <c r="B2263" s="9" t="s">
        <v>9413</v>
      </c>
      <c r="C2263" s="15" t="s">
        <v>9414</v>
      </c>
      <c r="D2263" s="12" t="str">
        <f>"2045-8118"</f>
        <v>2045-8118</v>
      </c>
      <c r="E2263" s="5">
        <v>7.6619999999999999</v>
      </c>
      <c r="F2263" s="5">
        <v>0.89700000000000002</v>
      </c>
    </row>
    <row r="2264" spans="2:6" x14ac:dyDescent="0.2">
      <c r="B2264" s="9" t="s">
        <v>9415</v>
      </c>
      <c r="C2264" s="15" t="s">
        <v>9415</v>
      </c>
      <c r="D2264" s="12" t="str">
        <f>"0015-4725"</f>
        <v>0015-4725</v>
      </c>
      <c r="E2264" s="5">
        <v>1.224</v>
      </c>
      <c r="F2264" s="5">
        <v>0.11899999999999999</v>
      </c>
    </row>
    <row r="2265" spans="2:6" x14ac:dyDescent="0.2">
      <c r="B2265" s="9" t="s">
        <v>1162</v>
      </c>
      <c r="C2265" s="15" t="s">
        <v>1162</v>
      </c>
      <c r="D2265" s="12" t="str">
        <f>"1933-6934"</f>
        <v>1933-6934</v>
      </c>
      <c r="E2265" s="5">
        <v>2.16</v>
      </c>
      <c r="F2265" s="5">
        <v>0.17199999999999999</v>
      </c>
    </row>
    <row r="2266" spans="2:6" x14ac:dyDescent="0.2">
      <c r="B2266" s="9" t="s">
        <v>9416</v>
      </c>
      <c r="C2266" s="15" t="s">
        <v>9417</v>
      </c>
      <c r="D2266" s="12" t="str">
        <f>"1088-3576"</f>
        <v>1088-3576</v>
      </c>
      <c r="E2266" s="5">
        <v>3.0419999999999998</v>
      </c>
      <c r="F2266" s="5">
        <v>0.86399999999999999</v>
      </c>
    </row>
    <row r="2267" spans="2:6" x14ac:dyDescent="0.2">
      <c r="B2267" s="9" t="s">
        <v>5367</v>
      </c>
      <c r="C2267" s="15" t="s">
        <v>4225</v>
      </c>
      <c r="D2267" s="12" t="str">
        <f>"0015-5497"</f>
        <v>0015-5497</v>
      </c>
      <c r="E2267" s="5">
        <v>0.432</v>
      </c>
      <c r="F2267" s="5">
        <v>7.4999999999999997E-2</v>
      </c>
    </row>
    <row r="2268" spans="2:6" x14ac:dyDescent="0.2">
      <c r="B2268" s="9" t="s">
        <v>5368</v>
      </c>
      <c r="C2268" s="15" t="s">
        <v>4226</v>
      </c>
      <c r="D2268" s="12" t="str">
        <f>"0015-5500"</f>
        <v>0015-5500</v>
      </c>
      <c r="E2268" s="5">
        <v>0.90600000000000003</v>
      </c>
      <c r="F2268" s="5">
        <v>0.161</v>
      </c>
    </row>
    <row r="2269" spans="2:6" x14ac:dyDescent="0.2">
      <c r="B2269" s="9" t="s">
        <v>5369</v>
      </c>
      <c r="C2269" s="15" t="s">
        <v>4227</v>
      </c>
      <c r="D2269" s="12" t="str">
        <f>"0239-8508"</f>
        <v>0239-8508</v>
      </c>
      <c r="E2269" s="5">
        <v>1.698</v>
      </c>
      <c r="F2269" s="5">
        <v>9.5000000000000001E-2</v>
      </c>
    </row>
    <row r="2270" spans="2:6" x14ac:dyDescent="0.2">
      <c r="B2270" s="9" t="s">
        <v>5370</v>
      </c>
      <c r="C2270" s="15" t="s">
        <v>4228</v>
      </c>
      <c r="D2270" s="12" t="str">
        <f>"0015-5632"</f>
        <v>0015-5632</v>
      </c>
      <c r="E2270" s="5">
        <v>2.0990000000000002</v>
      </c>
      <c r="F2270" s="5">
        <v>0.222</v>
      </c>
    </row>
    <row r="2271" spans="2:6" x14ac:dyDescent="0.2">
      <c r="B2271" s="9" t="s">
        <v>9418</v>
      </c>
      <c r="C2271" s="15" t="s">
        <v>9419</v>
      </c>
      <c r="D2271" s="12" t="str">
        <f>"0015-5659"</f>
        <v>0015-5659</v>
      </c>
      <c r="E2271" s="5">
        <v>1.1830000000000001</v>
      </c>
      <c r="F2271" s="5">
        <v>0.19</v>
      </c>
    </row>
    <row r="2272" spans="2:6" x14ac:dyDescent="0.2">
      <c r="B2272" s="9" t="s">
        <v>5371</v>
      </c>
      <c r="C2272" s="15" t="s">
        <v>4229</v>
      </c>
      <c r="D2272" s="12" t="str">
        <f>"1641-4640"</f>
        <v>1641-4640</v>
      </c>
      <c r="E2272" s="5">
        <v>2.0379999999999998</v>
      </c>
      <c r="F2272" s="5">
        <v>0.312</v>
      </c>
    </row>
    <row r="2273" spans="2:6" x14ac:dyDescent="0.2">
      <c r="B2273" s="9" t="s">
        <v>5372</v>
      </c>
      <c r="C2273" s="15" t="s">
        <v>4230</v>
      </c>
      <c r="D2273" s="12" t="str">
        <f>"0015-5683"</f>
        <v>0015-5683</v>
      </c>
      <c r="E2273" s="5">
        <v>2.1219999999999999</v>
      </c>
      <c r="F2273" s="5">
        <v>0.42099999999999999</v>
      </c>
    </row>
    <row r="2274" spans="2:6" x14ac:dyDescent="0.2">
      <c r="B2274" s="9" t="s">
        <v>9420</v>
      </c>
      <c r="C2274" s="15" t="s">
        <v>9421</v>
      </c>
      <c r="D2274" s="12" t="str">
        <f>"1021-7762"</f>
        <v>1021-7762</v>
      </c>
      <c r="E2274" s="5">
        <v>0.84899999999999998</v>
      </c>
      <c r="F2274" s="5">
        <v>6.8000000000000005E-2</v>
      </c>
    </row>
    <row r="2275" spans="2:6" ht="25.5" x14ac:dyDescent="0.2">
      <c r="B2275" s="9" t="s">
        <v>1163</v>
      </c>
      <c r="C2275" s="15" t="s">
        <v>9422</v>
      </c>
      <c r="D2275" s="12" t="str">
        <f>"1944-0049"</f>
        <v>1944-0049</v>
      </c>
      <c r="E2275" s="5">
        <v>3.0569999999999999</v>
      </c>
      <c r="F2275" s="5">
        <v>0.60799999999999998</v>
      </c>
    </row>
    <row r="2276" spans="2:6" x14ac:dyDescent="0.2">
      <c r="B2276" s="9" t="s">
        <v>1164</v>
      </c>
      <c r="C2276" s="15" t="s">
        <v>1165</v>
      </c>
      <c r="D2276" s="12" t="str">
        <f>"1939-3210"</f>
        <v>1939-3210</v>
      </c>
      <c r="E2276" s="5">
        <v>3.407</v>
      </c>
      <c r="F2276" s="5">
        <v>0.67600000000000005</v>
      </c>
    </row>
    <row r="2277" spans="2:6" x14ac:dyDescent="0.2">
      <c r="B2277" s="9" t="s">
        <v>5373</v>
      </c>
      <c r="C2277" s="15" t="s">
        <v>4231</v>
      </c>
      <c r="D2277" s="12" t="str">
        <f>"0954-0105"</f>
        <v>0954-0105</v>
      </c>
      <c r="E2277" s="5">
        <v>3.101</v>
      </c>
      <c r="F2277" s="5">
        <v>0.63500000000000001</v>
      </c>
    </row>
    <row r="2278" spans="2:6" x14ac:dyDescent="0.2">
      <c r="B2278" s="9" t="s">
        <v>5374</v>
      </c>
      <c r="C2278" s="15" t="s">
        <v>4232</v>
      </c>
      <c r="D2278" s="12" t="str">
        <f>"0960-3085"</f>
        <v>0960-3085</v>
      </c>
      <c r="E2278" s="5">
        <v>4.4809999999999999</v>
      </c>
      <c r="F2278" s="5">
        <v>0.77600000000000002</v>
      </c>
    </row>
    <row r="2279" spans="2:6" x14ac:dyDescent="0.2">
      <c r="B2279" s="9" t="s">
        <v>5375</v>
      </c>
      <c r="C2279" s="15" t="s">
        <v>4233</v>
      </c>
      <c r="D2279" s="12" t="str">
        <f>"0890-5436"</f>
        <v>0890-5436</v>
      </c>
      <c r="E2279" s="5">
        <v>1.5640000000000001</v>
      </c>
      <c r="F2279" s="5">
        <v>0.189</v>
      </c>
    </row>
    <row r="2280" spans="2:6" x14ac:dyDescent="0.2">
      <c r="B2280" s="9" t="s">
        <v>5376</v>
      </c>
      <c r="C2280" s="15" t="s">
        <v>4234</v>
      </c>
      <c r="D2280" s="12" t="str">
        <f>"0308-8146"</f>
        <v>0308-8146</v>
      </c>
      <c r="E2280" s="5">
        <v>7.5140000000000002</v>
      </c>
      <c r="F2280" s="5">
        <v>0.95799999999999996</v>
      </c>
    </row>
    <row r="2281" spans="2:6" x14ac:dyDescent="0.2">
      <c r="B2281" s="9" t="s">
        <v>5377</v>
      </c>
      <c r="C2281" s="15" t="s">
        <v>4235</v>
      </c>
      <c r="D2281" s="12" t="str">
        <f>"0278-6915"</f>
        <v>0278-6915</v>
      </c>
      <c r="E2281" s="5">
        <v>6.0229999999999997</v>
      </c>
      <c r="F2281" s="5">
        <v>0.91400000000000003</v>
      </c>
    </row>
    <row r="2282" spans="2:6" x14ac:dyDescent="0.2">
      <c r="B2282" s="9" t="s">
        <v>5378</v>
      </c>
      <c r="C2282" s="15" t="s">
        <v>4236</v>
      </c>
      <c r="D2282" s="12" t="str">
        <f>"1064-590X"</f>
        <v>1064-590X</v>
      </c>
      <c r="E2282" s="5">
        <v>0.61899999999999999</v>
      </c>
      <c r="F2282" s="5">
        <v>0.16600000000000001</v>
      </c>
    </row>
    <row r="2283" spans="2:6" x14ac:dyDescent="0.2">
      <c r="B2283" s="9" t="s">
        <v>9423</v>
      </c>
      <c r="C2283" s="15" t="s">
        <v>9424</v>
      </c>
      <c r="D2283" s="12" t="str">
        <f>"1867-0334"</f>
        <v>1867-0334</v>
      </c>
      <c r="E2283" s="5">
        <v>2.778</v>
      </c>
      <c r="F2283" s="5">
        <v>0.51700000000000002</v>
      </c>
    </row>
    <row r="2284" spans="2:6" x14ac:dyDescent="0.2">
      <c r="B2284" s="9" t="s">
        <v>9425</v>
      </c>
      <c r="C2284" s="15" t="s">
        <v>9426</v>
      </c>
      <c r="D2284" s="12" t="str">
        <f>"2042-6496"</f>
        <v>2042-6496</v>
      </c>
      <c r="E2284" s="5">
        <v>5.3959999999999999</v>
      </c>
      <c r="F2284" s="5">
        <v>0.85299999999999998</v>
      </c>
    </row>
    <row r="2285" spans="2:6" x14ac:dyDescent="0.2">
      <c r="B2285" s="9" t="s">
        <v>5379</v>
      </c>
      <c r="C2285" s="15" t="s">
        <v>4237</v>
      </c>
      <c r="D2285" s="12" t="str">
        <f>"1095-9998"</f>
        <v>1095-9998</v>
      </c>
      <c r="E2285" s="5">
        <v>5.516</v>
      </c>
      <c r="F2285" s="5">
        <v>0.86</v>
      </c>
    </row>
    <row r="2286" spans="2:6" x14ac:dyDescent="0.2">
      <c r="B2286" s="9" t="s">
        <v>1166</v>
      </c>
      <c r="C2286" s="15" t="s">
        <v>1167</v>
      </c>
      <c r="D2286" s="12" t="str">
        <f>"0379-5721"</f>
        <v>0379-5721</v>
      </c>
      <c r="E2286" s="5">
        <v>2.069</v>
      </c>
      <c r="F2286" s="5">
        <v>0.35699999999999998</v>
      </c>
    </row>
    <row r="2287" spans="2:6" x14ac:dyDescent="0.2">
      <c r="B2287" s="9" t="s">
        <v>9427</v>
      </c>
      <c r="C2287" s="15" t="s">
        <v>9428</v>
      </c>
      <c r="D2287" s="12" t="str">
        <f>"1654-6628"</f>
        <v>1654-6628</v>
      </c>
      <c r="E2287" s="5">
        <v>3.8940000000000001</v>
      </c>
      <c r="F2287" s="5">
        <v>0.70599999999999996</v>
      </c>
    </row>
    <row r="2288" spans="2:6" x14ac:dyDescent="0.2">
      <c r="B2288" s="9" t="s">
        <v>5380</v>
      </c>
      <c r="C2288" s="15" t="s">
        <v>5380</v>
      </c>
      <c r="D2288" s="12" t="str">
        <f>"0306-9192"</f>
        <v>0306-9192</v>
      </c>
      <c r="E2288" s="5">
        <v>4.5519999999999996</v>
      </c>
      <c r="F2288" s="5">
        <v>0.90500000000000003</v>
      </c>
    </row>
    <row r="2289" spans="2:6" x14ac:dyDescent="0.2">
      <c r="B2289" s="9" t="s">
        <v>5381</v>
      </c>
      <c r="C2289" s="15" t="s">
        <v>4238</v>
      </c>
      <c r="D2289" s="12" t="str">
        <f>"8755-9129"</f>
        <v>8755-9129</v>
      </c>
      <c r="E2289" s="5">
        <v>6.4779999999999998</v>
      </c>
      <c r="F2289" s="5">
        <v>0.95099999999999996</v>
      </c>
    </row>
    <row r="2290" spans="2:6" x14ac:dyDescent="0.2">
      <c r="B2290" s="9" t="s">
        <v>9429</v>
      </c>
      <c r="C2290" s="15" t="s">
        <v>9430</v>
      </c>
      <c r="D2290" s="12" t="str">
        <f>"2213-4530"</f>
        <v>2213-4530</v>
      </c>
      <c r="E2290" s="5">
        <v>5.1539999999999999</v>
      </c>
      <c r="F2290" s="5">
        <v>0.81799999999999995</v>
      </c>
    </row>
    <row r="2291" spans="2:6" x14ac:dyDescent="0.2">
      <c r="B2291" s="9" t="s">
        <v>5895</v>
      </c>
      <c r="C2291" s="15" t="s">
        <v>4239</v>
      </c>
      <c r="D2291" s="12" t="str">
        <f>"1330-9862"</f>
        <v>1330-9862</v>
      </c>
      <c r="E2291" s="5">
        <v>3.9180000000000001</v>
      </c>
      <c r="F2291" s="5">
        <v>0.71299999999999997</v>
      </c>
    </row>
    <row r="2292" spans="2:6" x14ac:dyDescent="0.2">
      <c r="B2292" s="9" t="s">
        <v>9431</v>
      </c>
      <c r="C2292" s="15" t="s">
        <v>9432</v>
      </c>
      <c r="D2292" s="12" t="str">
        <f>"1083-7515"</f>
        <v>1083-7515</v>
      </c>
      <c r="E2292" s="5">
        <v>1.653</v>
      </c>
      <c r="F2292" s="5">
        <v>0.28399999999999997</v>
      </c>
    </row>
    <row r="2293" spans="2:6" x14ac:dyDescent="0.2">
      <c r="B2293" s="9" t="s">
        <v>5896</v>
      </c>
      <c r="C2293" s="15" t="s">
        <v>4240</v>
      </c>
      <c r="D2293" s="12" t="str">
        <f>"1071-1007"</f>
        <v>1071-1007</v>
      </c>
      <c r="E2293" s="5">
        <v>2.827</v>
      </c>
      <c r="F2293" s="5">
        <v>0.61699999999999999</v>
      </c>
    </row>
    <row r="2294" spans="2:6" x14ac:dyDescent="0.2">
      <c r="B2294" s="9" t="s">
        <v>9433</v>
      </c>
      <c r="C2294" s="15" t="s">
        <v>9434</v>
      </c>
      <c r="D2294" s="12" t="str">
        <f>"1268-7731"</f>
        <v>1268-7731</v>
      </c>
      <c r="E2294" s="5">
        <v>2.7050000000000001</v>
      </c>
      <c r="F2294" s="5">
        <v>0.57999999999999996</v>
      </c>
    </row>
    <row r="2295" spans="2:6" x14ac:dyDescent="0.2">
      <c r="B2295" s="9" t="s">
        <v>9435</v>
      </c>
      <c r="C2295" s="15" t="s">
        <v>9436</v>
      </c>
      <c r="D2295" s="12" t="str">
        <f>"2468-1709"</f>
        <v>2468-1709</v>
      </c>
      <c r="E2295" s="5">
        <v>2.6760000000000002</v>
      </c>
      <c r="F2295" s="5">
        <v>0.39800000000000002</v>
      </c>
    </row>
    <row r="2296" spans="2:6" x14ac:dyDescent="0.2">
      <c r="B2296" s="9" t="s">
        <v>5897</v>
      </c>
      <c r="C2296" s="15" t="s">
        <v>4241</v>
      </c>
      <c r="D2296" s="12" t="str">
        <f>"0379-0738"</f>
        <v>0379-0738</v>
      </c>
      <c r="E2296" s="5">
        <v>2.395</v>
      </c>
      <c r="F2296" s="5">
        <v>0.76500000000000001</v>
      </c>
    </row>
    <row r="2297" spans="2:6" x14ac:dyDescent="0.2">
      <c r="B2297" s="9" t="s">
        <v>1168</v>
      </c>
      <c r="C2297" s="15" t="s">
        <v>1169</v>
      </c>
      <c r="D2297" s="12" t="str">
        <f>"1878-0326"</f>
        <v>1878-0326</v>
      </c>
      <c r="E2297" s="5">
        <v>4.8819999999999997</v>
      </c>
      <c r="F2297" s="5">
        <v>1</v>
      </c>
    </row>
    <row r="2298" spans="2:6" x14ac:dyDescent="0.2">
      <c r="B2298" s="9" t="s">
        <v>9437</v>
      </c>
      <c r="C2298" s="15" t="s">
        <v>9438</v>
      </c>
      <c r="D2298" s="12" t="str">
        <f>"1547-769X"</f>
        <v>1547-769X</v>
      </c>
      <c r="E2298" s="5">
        <v>2.0070000000000001</v>
      </c>
      <c r="F2298" s="5">
        <v>0.64700000000000002</v>
      </c>
    </row>
    <row r="2299" spans="2:6" x14ac:dyDescent="0.2">
      <c r="B2299" s="9" t="s">
        <v>9439</v>
      </c>
      <c r="C2299" s="15" t="s">
        <v>9440</v>
      </c>
      <c r="D2299" s="12" t="str">
        <f>"1860-8965"</f>
        <v>1860-8965</v>
      </c>
      <c r="E2299" s="5">
        <v>4.0960000000000001</v>
      </c>
      <c r="F2299" s="5">
        <v>0.66700000000000004</v>
      </c>
    </row>
    <row r="2300" spans="2:6" x14ac:dyDescent="0.2">
      <c r="B2300" s="9" t="s">
        <v>5898</v>
      </c>
      <c r="C2300" s="15" t="s">
        <v>4242</v>
      </c>
      <c r="D2300" s="12" t="str">
        <f>"0015-7899"</f>
        <v>0015-7899</v>
      </c>
      <c r="E2300" s="5">
        <v>0.57399999999999995</v>
      </c>
      <c r="F2300" s="5">
        <v>6.7000000000000004E-2</v>
      </c>
    </row>
    <row r="2301" spans="2:6" x14ac:dyDescent="0.2">
      <c r="B2301" s="9" t="s">
        <v>5899</v>
      </c>
      <c r="C2301" s="15" t="s">
        <v>4243</v>
      </c>
      <c r="D2301" s="12" t="str">
        <f>"0720-4299"</f>
        <v>0720-4299</v>
      </c>
      <c r="E2301" s="5">
        <v>0.752</v>
      </c>
      <c r="F2301" s="5">
        <v>6.5000000000000002E-2</v>
      </c>
    </row>
    <row r="2302" spans="2:6" x14ac:dyDescent="0.2">
      <c r="B2302" s="9" t="s">
        <v>1170</v>
      </c>
      <c r="C2302" s="15" t="s">
        <v>1171</v>
      </c>
      <c r="D2302" s="12" t="str">
        <f>"0178-7667"</f>
        <v>0178-7667</v>
      </c>
      <c r="E2302" s="5">
        <v>0.38900000000000001</v>
      </c>
      <c r="F2302" s="5">
        <v>0.38500000000000001</v>
      </c>
    </row>
    <row r="2303" spans="2:6" x14ac:dyDescent="0.2">
      <c r="B2303" s="9" t="s">
        <v>9441</v>
      </c>
      <c r="C2303" s="15" t="s">
        <v>9442</v>
      </c>
      <c r="D2303" s="12" t="str">
        <f>"1386-4238"</f>
        <v>1386-4238</v>
      </c>
      <c r="E2303" s="5">
        <v>1.2629999999999999</v>
      </c>
      <c r="F2303" s="5">
        <v>0.622</v>
      </c>
    </row>
    <row r="2304" spans="2:6" x14ac:dyDescent="0.2">
      <c r="B2304" s="9" t="s">
        <v>9443</v>
      </c>
      <c r="C2304" s="15" t="s">
        <v>9444</v>
      </c>
      <c r="D2304" s="12" t="str">
        <f>"1233-1821"</f>
        <v>1233-1821</v>
      </c>
      <c r="E2304" s="5">
        <v>1.238</v>
      </c>
      <c r="F2304" s="5">
        <v>0.60799999999999998</v>
      </c>
    </row>
    <row r="2305" spans="2:6" ht="25.5" x14ac:dyDescent="0.2">
      <c r="B2305" s="9" t="s">
        <v>5900</v>
      </c>
      <c r="C2305" s="15" t="s">
        <v>4244</v>
      </c>
      <c r="D2305" s="12" t="str">
        <f>"0218-348X"</f>
        <v>0218-348X</v>
      </c>
      <c r="E2305" s="5">
        <v>3.665</v>
      </c>
      <c r="F2305" s="5">
        <v>0.83299999999999996</v>
      </c>
    </row>
    <row r="2306" spans="2:6" x14ac:dyDescent="0.2">
      <c r="B2306" s="9" t="s">
        <v>5901</v>
      </c>
      <c r="C2306" s="15" t="s">
        <v>4245</v>
      </c>
      <c r="D2306" s="12" t="str">
        <f>"0891-5849"</f>
        <v>0891-5849</v>
      </c>
      <c r="E2306" s="5">
        <v>7.3760000000000003</v>
      </c>
      <c r="F2306" s="5">
        <v>0.89</v>
      </c>
    </row>
    <row r="2307" spans="2:6" x14ac:dyDescent="0.2">
      <c r="B2307" s="9" t="s">
        <v>5902</v>
      </c>
      <c r="C2307" s="15" t="s">
        <v>4246</v>
      </c>
      <c r="D2307" s="12" t="str">
        <f>"1071-5762"</f>
        <v>1071-5762</v>
      </c>
      <c r="E2307" s="5">
        <v>4.1479999999999997</v>
      </c>
      <c r="F2307" s="5">
        <v>0.56399999999999995</v>
      </c>
    </row>
    <row r="2308" spans="2:6" x14ac:dyDescent="0.2">
      <c r="B2308" s="9" t="s">
        <v>9445</v>
      </c>
      <c r="C2308" s="15" t="s">
        <v>9446</v>
      </c>
      <c r="D2308" s="12" t="str">
        <f>"2223-7690"</f>
        <v>2223-7690</v>
      </c>
      <c r="E2308" s="5">
        <v>6.1669999999999998</v>
      </c>
      <c r="F2308" s="5">
        <v>0.94699999999999995</v>
      </c>
    </row>
    <row r="2309" spans="2:6" x14ac:dyDescent="0.2">
      <c r="B2309" s="9" t="s">
        <v>9447</v>
      </c>
      <c r="C2309" s="15" t="s">
        <v>9448</v>
      </c>
      <c r="D2309" s="12" t="str">
        <f>"1663-4365"</f>
        <v>1663-4365</v>
      </c>
      <c r="E2309" s="5">
        <v>5.75</v>
      </c>
      <c r="F2309" s="5">
        <v>0.84899999999999998</v>
      </c>
    </row>
    <row r="2310" spans="2:6" x14ac:dyDescent="0.2">
      <c r="B2310" s="9" t="s">
        <v>9449</v>
      </c>
      <c r="C2310" s="15" t="s">
        <v>9450</v>
      </c>
      <c r="D2310" s="12" t="str">
        <f>"1662-5153"</f>
        <v>1662-5153</v>
      </c>
      <c r="E2310" s="5">
        <v>3.5579999999999998</v>
      </c>
      <c r="F2310" s="5">
        <v>0.77400000000000002</v>
      </c>
    </row>
    <row r="2311" spans="2:6" x14ac:dyDescent="0.2">
      <c r="B2311" s="9" t="s">
        <v>9451</v>
      </c>
      <c r="C2311" s="15" t="s">
        <v>9452</v>
      </c>
      <c r="D2311" s="12" t="str">
        <f>"2296-4185"</f>
        <v>2296-4185</v>
      </c>
      <c r="E2311" s="5">
        <v>5.89</v>
      </c>
      <c r="F2311" s="5">
        <v>0.84699999999999998</v>
      </c>
    </row>
    <row r="2312" spans="2:6" x14ac:dyDescent="0.2">
      <c r="B2312" s="9" t="s">
        <v>9453</v>
      </c>
      <c r="C2312" s="15" t="s">
        <v>9454</v>
      </c>
      <c r="D2312" s="12" t="str">
        <f>"1093-9946"</f>
        <v>1093-9946</v>
      </c>
      <c r="E2312" s="5">
        <v>4.0090000000000003</v>
      </c>
      <c r="F2312" s="5">
        <v>0.54100000000000004</v>
      </c>
    </row>
    <row r="2313" spans="2:6" x14ac:dyDescent="0.2">
      <c r="B2313" s="9" t="s">
        <v>9455</v>
      </c>
      <c r="C2313" s="15" t="s">
        <v>9456</v>
      </c>
      <c r="D2313" s="12" t="str">
        <f>"2297-055X"</f>
        <v>2297-055X</v>
      </c>
      <c r="E2313" s="5">
        <v>6.05</v>
      </c>
      <c r="F2313" s="5">
        <v>0.79400000000000004</v>
      </c>
    </row>
    <row r="2314" spans="2:6" x14ac:dyDescent="0.2">
      <c r="B2314" s="9" t="s">
        <v>9457</v>
      </c>
      <c r="C2314" s="15" t="s">
        <v>9458</v>
      </c>
      <c r="D2314" s="12" t="str">
        <f>"2296-634X"</f>
        <v>2296-634X</v>
      </c>
      <c r="E2314" s="5">
        <v>6.6840000000000002</v>
      </c>
      <c r="F2314" s="5">
        <v>0.878</v>
      </c>
    </row>
    <row r="2315" spans="2:6" x14ac:dyDescent="0.2">
      <c r="B2315" s="9" t="s">
        <v>9459</v>
      </c>
      <c r="C2315" s="15" t="s">
        <v>9460</v>
      </c>
      <c r="D2315" s="12" t="str">
        <f>"2235-2988"</f>
        <v>2235-2988</v>
      </c>
      <c r="E2315" s="5">
        <v>5.2930000000000001</v>
      </c>
      <c r="F2315" s="5">
        <v>0.76300000000000001</v>
      </c>
    </row>
    <row r="2316" spans="2:6" x14ac:dyDescent="0.2">
      <c r="B2316" s="9" t="s">
        <v>9461</v>
      </c>
      <c r="C2316" s="15" t="s">
        <v>9462</v>
      </c>
      <c r="D2316" s="12" t="str">
        <f>"1662-5102"</f>
        <v>1662-5102</v>
      </c>
      <c r="E2316" s="5">
        <v>5.5049999999999999</v>
      </c>
      <c r="F2316" s="5">
        <v>0.77700000000000002</v>
      </c>
    </row>
    <row r="2317" spans="2:6" x14ac:dyDescent="0.2">
      <c r="B2317" s="9" t="s">
        <v>9463</v>
      </c>
      <c r="C2317" s="15" t="s">
        <v>9464</v>
      </c>
      <c r="D2317" s="12" t="str">
        <f>"2296-2646"</f>
        <v>2296-2646</v>
      </c>
      <c r="E2317" s="5">
        <v>5.2210000000000001</v>
      </c>
      <c r="F2317" s="5">
        <v>0.70799999999999996</v>
      </c>
    </row>
    <row r="2318" spans="2:6" x14ac:dyDescent="0.2">
      <c r="B2318" s="9" t="s">
        <v>9465</v>
      </c>
      <c r="C2318" s="15" t="s">
        <v>9466</v>
      </c>
      <c r="D2318" s="12" t="str">
        <f>"1662-5188"</f>
        <v>1662-5188</v>
      </c>
      <c r="E2318" s="5">
        <v>2.38</v>
      </c>
      <c r="F2318" s="5">
        <v>0.55200000000000005</v>
      </c>
    </row>
    <row r="2319" spans="2:6" x14ac:dyDescent="0.2">
      <c r="B2319" s="9" t="s">
        <v>9467</v>
      </c>
      <c r="C2319" s="15" t="s">
        <v>9468</v>
      </c>
      <c r="D2319" s="12" t="str">
        <f>"1664-2392"</f>
        <v>1664-2392</v>
      </c>
      <c r="E2319" s="5">
        <v>5.5549999999999997</v>
      </c>
      <c r="F2319" s="5">
        <v>0.78600000000000003</v>
      </c>
    </row>
    <row r="2320" spans="2:6" x14ac:dyDescent="0.2">
      <c r="B2320" s="9" t="s">
        <v>9469</v>
      </c>
      <c r="C2320" s="15" t="s">
        <v>9470</v>
      </c>
      <c r="D2320" s="12" t="str">
        <f>"1664-8021"</f>
        <v>1664-8021</v>
      </c>
      <c r="E2320" s="5">
        <v>4.5990000000000002</v>
      </c>
      <c r="F2320" s="5">
        <v>0.73099999999999998</v>
      </c>
    </row>
    <row r="2321" spans="2:6" x14ac:dyDescent="0.2">
      <c r="B2321" s="9" t="s">
        <v>5903</v>
      </c>
      <c r="C2321" s="15" t="s">
        <v>9471</v>
      </c>
      <c r="D2321" s="12" t="str">
        <f>"1662-3762"</f>
        <v>1662-3762</v>
      </c>
      <c r="E2321" s="5">
        <v>2.6059999999999999</v>
      </c>
      <c r="F2321" s="5">
        <v>0.2</v>
      </c>
    </row>
    <row r="2322" spans="2:6" x14ac:dyDescent="0.2">
      <c r="B2322" s="9" t="s">
        <v>1172</v>
      </c>
      <c r="C2322" s="15" t="s">
        <v>1173</v>
      </c>
      <c r="D2322" s="12" t="str">
        <f>"1662-5161"</f>
        <v>1662-5161</v>
      </c>
      <c r="E2322" s="5">
        <v>3.169</v>
      </c>
      <c r="F2322" s="5">
        <v>0.66200000000000003</v>
      </c>
    </row>
    <row r="2323" spans="2:6" x14ac:dyDescent="0.2">
      <c r="B2323" s="9" t="s">
        <v>1174</v>
      </c>
      <c r="C2323" s="15" t="s">
        <v>1175</v>
      </c>
      <c r="D2323" s="12" t="str">
        <f>"0160-9009"</f>
        <v>0160-9009</v>
      </c>
      <c r="E2323" s="5">
        <v>1.333</v>
      </c>
      <c r="F2323" s="5">
        <v>0.36399999999999999</v>
      </c>
    </row>
    <row r="2324" spans="2:6" ht="25.5" x14ac:dyDescent="0.2">
      <c r="B2324" s="9" t="s">
        <v>9472</v>
      </c>
      <c r="C2324" s="15" t="s">
        <v>9472</v>
      </c>
      <c r="D2324" s="12" t="str">
        <f>"1663-3563"</f>
        <v>1663-3563</v>
      </c>
      <c r="E2324" s="5">
        <v>4.5060000000000002</v>
      </c>
      <c r="F2324" s="5">
        <v>0.66300000000000003</v>
      </c>
    </row>
    <row r="2325" spans="2:6" x14ac:dyDescent="0.2">
      <c r="B2325" s="9" t="s">
        <v>9473</v>
      </c>
      <c r="C2325" s="15" t="s">
        <v>9474</v>
      </c>
      <c r="D2325" s="12" t="str">
        <f>"1664-3224"</f>
        <v>1664-3224</v>
      </c>
      <c r="E2325" s="5">
        <v>7.5609999999999999</v>
      </c>
      <c r="F2325" s="5">
        <v>0.85799999999999998</v>
      </c>
    </row>
    <row r="2326" spans="2:6" x14ac:dyDescent="0.2">
      <c r="B2326" s="9" t="s">
        <v>9475</v>
      </c>
      <c r="C2326" s="15" t="s">
        <v>9476</v>
      </c>
      <c r="D2326" s="12" t="str">
        <f>"1662-5145"</f>
        <v>1662-5145</v>
      </c>
      <c r="E2326" s="5">
        <v>2.7629999999999999</v>
      </c>
      <c r="F2326" s="5">
        <v>0.41499999999999998</v>
      </c>
    </row>
    <row r="2327" spans="2:6" x14ac:dyDescent="0.2">
      <c r="B2327" s="9" t="s">
        <v>9477</v>
      </c>
      <c r="C2327" s="15" t="s">
        <v>9478</v>
      </c>
      <c r="D2327" s="12" t="str">
        <f>"2155-3769"</f>
        <v>2155-3769</v>
      </c>
      <c r="E2327" s="5">
        <v>2</v>
      </c>
      <c r="F2327" s="5">
        <v>0.44400000000000001</v>
      </c>
    </row>
    <row r="2328" spans="2:6" x14ac:dyDescent="0.2">
      <c r="B2328" s="9" t="s">
        <v>9479</v>
      </c>
      <c r="C2328" s="15" t="s">
        <v>9480</v>
      </c>
      <c r="D2328" s="12" t="str">
        <f>"2095-0233"</f>
        <v>2095-0233</v>
      </c>
      <c r="E2328" s="5">
        <v>4.5279999999999996</v>
      </c>
      <c r="F2328" s="5">
        <v>0.86499999999999999</v>
      </c>
    </row>
    <row r="2329" spans="2:6" x14ac:dyDescent="0.2">
      <c r="B2329" s="9" t="s">
        <v>9481</v>
      </c>
      <c r="C2329" s="15" t="s">
        <v>9482</v>
      </c>
      <c r="D2329" s="12" t="str">
        <f>"2296-858X"</f>
        <v>2296-858X</v>
      </c>
      <c r="E2329" s="5">
        <v>5.0910000000000002</v>
      </c>
      <c r="F2329" s="5">
        <v>0.83799999999999997</v>
      </c>
    </row>
    <row r="2330" spans="2:6" x14ac:dyDescent="0.2">
      <c r="B2330" s="9" t="s">
        <v>9483</v>
      </c>
      <c r="C2330" s="15" t="s">
        <v>9484</v>
      </c>
      <c r="D2330" s="12" t="str">
        <f>"2095-0217"</f>
        <v>2095-0217</v>
      </c>
      <c r="E2330" s="5">
        <v>4.5919999999999996</v>
      </c>
      <c r="F2330" s="5">
        <v>0.58599999999999997</v>
      </c>
    </row>
    <row r="2331" spans="2:6" x14ac:dyDescent="0.2">
      <c r="B2331" s="9" t="s">
        <v>9485</v>
      </c>
      <c r="C2331" s="15" t="s">
        <v>9486</v>
      </c>
      <c r="D2331" s="12" t="str">
        <f>"1664-302X"</f>
        <v>1664-302X</v>
      </c>
      <c r="E2331" s="5">
        <v>5.64</v>
      </c>
      <c r="F2331" s="5">
        <v>0.8</v>
      </c>
    </row>
    <row r="2332" spans="2:6" x14ac:dyDescent="0.2">
      <c r="B2332" s="9" t="s">
        <v>9487</v>
      </c>
      <c r="C2332" s="15" t="s">
        <v>9488</v>
      </c>
      <c r="D2332" s="12" t="str">
        <f>"2296-889X"</f>
        <v>2296-889X</v>
      </c>
      <c r="E2332" s="5">
        <v>5.2460000000000004</v>
      </c>
      <c r="F2332" s="5">
        <v>0.73</v>
      </c>
    </row>
    <row r="2333" spans="2:6" x14ac:dyDescent="0.2">
      <c r="B2333" s="9" t="s">
        <v>9489</v>
      </c>
      <c r="C2333" s="15" t="s">
        <v>9490</v>
      </c>
      <c r="D2333" s="12" t="str">
        <f>"1662-5099"</f>
        <v>1662-5099</v>
      </c>
      <c r="E2333" s="5">
        <v>5.6390000000000002</v>
      </c>
      <c r="F2333" s="5">
        <v>0.78800000000000003</v>
      </c>
    </row>
    <row r="2334" spans="2:6" x14ac:dyDescent="0.2">
      <c r="B2334" s="9" t="s">
        <v>9491</v>
      </c>
      <c r="C2334" s="15" t="s">
        <v>9492</v>
      </c>
      <c r="D2334" s="12" t="str">
        <f>"1662-5110"</f>
        <v>1662-5110</v>
      </c>
      <c r="E2334" s="5">
        <v>3.492</v>
      </c>
      <c r="F2334" s="5">
        <v>0.45400000000000001</v>
      </c>
    </row>
    <row r="2335" spans="2:6" x14ac:dyDescent="0.2">
      <c r="B2335" s="9" t="s">
        <v>9493</v>
      </c>
      <c r="C2335" s="15" t="s">
        <v>9494</v>
      </c>
      <c r="D2335" s="12" t="str">
        <f>"1662-5129"</f>
        <v>1662-5129</v>
      </c>
      <c r="E2335" s="5">
        <v>3.8559999999999999</v>
      </c>
      <c r="F2335" s="5">
        <v>1</v>
      </c>
    </row>
    <row r="2336" spans="2:6" x14ac:dyDescent="0.2">
      <c r="B2336" s="9" t="s">
        <v>5904</v>
      </c>
      <c r="C2336" s="15" t="s">
        <v>4247</v>
      </c>
      <c r="D2336" s="12" t="str">
        <f>"1095-6808"</f>
        <v>1095-6808</v>
      </c>
      <c r="E2336" s="5">
        <v>8.6059999999999999</v>
      </c>
      <c r="F2336" s="5">
        <v>0.92700000000000005</v>
      </c>
    </row>
    <row r="2337" spans="2:6" x14ac:dyDescent="0.2">
      <c r="B2337" s="9" t="s">
        <v>9495</v>
      </c>
      <c r="C2337" s="15" t="s">
        <v>9496</v>
      </c>
      <c r="D2337" s="12" t="str">
        <f>"1662-5196"</f>
        <v>1662-5196</v>
      </c>
      <c r="E2337" s="5">
        <v>4.0810000000000004</v>
      </c>
      <c r="F2337" s="5">
        <v>0.82799999999999996</v>
      </c>
    </row>
    <row r="2338" spans="2:6" x14ac:dyDescent="0.2">
      <c r="B2338" s="9" t="s">
        <v>9497</v>
      </c>
      <c r="C2338" s="15" t="s">
        <v>9498</v>
      </c>
      <c r="D2338" s="12" t="str">
        <f>"1664-2295"</f>
        <v>1664-2295</v>
      </c>
      <c r="E2338" s="5">
        <v>4.0030000000000001</v>
      </c>
      <c r="F2338" s="5">
        <v>0.65900000000000003</v>
      </c>
    </row>
    <row r="2339" spans="2:6" x14ac:dyDescent="0.2">
      <c r="B2339" s="9" t="s">
        <v>9499</v>
      </c>
      <c r="C2339" s="15" t="s">
        <v>9500</v>
      </c>
      <c r="D2339" s="12" t="str">
        <f>"1662-5218"</f>
        <v>1662-5218</v>
      </c>
      <c r="E2339" s="5">
        <v>2.65</v>
      </c>
      <c r="F2339" s="5">
        <v>0.51100000000000001</v>
      </c>
    </row>
    <row r="2340" spans="2:6" x14ac:dyDescent="0.2">
      <c r="B2340" s="9" t="s">
        <v>9501</v>
      </c>
      <c r="C2340" s="15" t="s">
        <v>9502</v>
      </c>
      <c r="D2340" s="12" t="str">
        <f>"1662-453X"</f>
        <v>1662-453X</v>
      </c>
      <c r="E2340" s="5">
        <v>4.6769999999999996</v>
      </c>
      <c r="F2340" s="5">
        <v>0.68500000000000005</v>
      </c>
    </row>
    <row r="2341" spans="2:6" x14ac:dyDescent="0.2">
      <c r="B2341" s="9" t="s">
        <v>9503</v>
      </c>
      <c r="C2341" s="15" t="s">
        <v>9504</v>
      </c>
      <c r="D2341" s="12" t="str">
        <f>"2296-861X"</f>
        <v>2296-861X</v>
      </c>
      <c r="E2341" s="5">
        <v>6.5759999999999996</v>
      </c>
      <c r="F2341" s="5">
        <v>0.875</v>
      </c>
    </row>
    <row r="2342" spans="2:6" x14ac:dyDescent="0.2">
      <c r="B2342" s="9" t="s">
        <v>9505</v>
      </c>
      <c r="C2342" s="15" t="s">
        <v>9506</v>
      </c>
      <c r="D2342" s="12" t="str">
        <f>"2234-943X"</f>
        <v>2234-943X</v>
      </c>
      <c r="E2342" s="5">
        <v>6.2439999999999998</v>
      </c>
      <c r="F2342" s="5">
        <v>0.747</v>
      </c>
    </row>
    <row r="2343" spans="2:6" x14ac:dyDescent="0.2">
      <c r="B2343" s="9" t="s">
        <v>9507</v>
      </c>
      <c r="C2343" s="15" t="s">
        <v>9508</v>
      </c>
      <c r="D2343" s="12" t="str">
        <f>"2296-2360"</f>
        <v>2296-2360</v>
      </c>
      <c r="E2343" s="5">
        <v>3.4180000000000001</v>
      </c>
      <c r="F2343" s="5">
        <v>0.82199999999999995</v>
      </c>
    </row>
    <row r="2344" spans="2:6" x14ac:dyDescent="0.2">
      <c r="B2344" s="9" t="s">
        <v>9509</v>
      </c>
      <c r="C2344" s="15" t="s">
        <v>9510</v>
      </c>
      <c r="D2344" s="12" t="str">
        <f>"1663-9812"</f>
        <v>1663-9812</v>
      </c>
      <c r="E2344" s="5">
        <v>5.81</v>
      </c>
      <c r="F2344" s="5">
        <v>0.85799999999999998</v>
      </c>
    </row>
    <row r="2345" spans="2:6" x14ac:dyDescent="0.2">
      <c r="B2345" s="9" t="s">
        <v>9511</v>
      </c>
      <c r="C2345" s="15" t="s">
        <v>9512</v>
      </c>
      <c r="D2345" s="12" t="str">
        <f>"1664-042X"</f>
        <v>1664-042X</v>
      </c>
      <c r="E2345" s="5">
        <v>4.5659999999999998</v>
      </c>
      <c r="F2345" s="5">
        <v>0.84</v>
      </c>
    </row>
    <row r="2346" spans="2:6" x14ac:dyDescent="0.2">
      <c r="B2346" s="9" t="s">
        <v>9513</v>
      </c>
      <c r="C2346" s="15" t="s">
        <v>9514</v>
      </c>
      <c r="D2346" s="12" t="str">
        <f>"1664-0640"</f>
        <v>1664-0640</v>
      </c>
      <c r="E2346" s="5">
        <v>4.157</v>
      </c>
      <c r="F2346" s="5">
        <v>0.72199999999999998</v>
      </c>
    </row>
    <row r="2347" spans="2:6" x14ac:dyDescent="0.2">
      <c r="B2347" s="9" t="s">
        <v>9515</v>
      </c>
      <c r="C2347" s="15" t="s">
        <v>9516</v>
      </c>
      <c r="D2347" s="12" t="str">
        <f>"1664-1078"</f>
        <v>1664-1078</v>
      </c>
      <c r="E2347" s="5">
        <v>2.99</v>
      </c>
      <c r="F2347" s="5">
        <v>0.70499999999999996</v>
      </c>
    </row>
    <row r="2348" spans="2:6" x14ac:dyDescent="0.2">
      <c r="B2348" s="9" t="s">
        <v>9517</v>
      </c>
      <c r="C2348" s="15" t="s">
        <v>9518</v>
      </c>
      <c r="D2348" s="12" t="str">
        <f>"2296-2565"</f>
        <v>2296-2565</v>
      </c>
      <c r="E2348" s="5">
        <v>3.7090000000000001</v>
      </c>
      <c r="F2348" s="5">
        <v>0.76100000000000001</v>
      </c>
    </row>
    <row r="2349" spans="2:6" x14ac:dyDescent="0.2">
      <c r="B2349" s="9" t="s">
        <v>9519</v>
      </c>
      <c r="C2349" s="15" t="s">
        <v>9520</v>
      </c>
      <c r="D2349" s="12" t="str">
        <f>"2296-875X"</f>
        <v>2296-875X</v>
      </c>
      <c r="E2349" s="5">
        <v>2.718</v>
      </c>
      <c r="F2349" s="5">
        <v>0.57099999999999995</v>
      </c>
    </row>
    <row r="2350" spans="2:6" x14ac:dyDescent="0.2">
      <c r="B2350" s="9" t="s">
        <v>9521</v>
      </c>
      <c r="C2350" s="15" t="s">
        <v>9522</v>
      </c>
      <c r="D2350" s="12" t="str">
        <f>"1662-5137"</f>
        <v>1662-5137</v>
      </c>
      <c r="E2350" s="5">
        <v>3.2890000000000001</v>
      </c>
      <c r="F2350" s="5">
        <v>0.40300000000000002</v>
      </c>
    </row>
    <row r="2351" spans="2:6" x14ac:dyDescent="0.2">
      <c r="B2351" s="9" t="s">
        <v>9523</v>
      </c>
      <c r="C2351" s="15" t="s">
        <v>9524</v>
      </c>
      <c r="D2351" s="12" t="str">
        <f>"2297-1769"</f>
        <v>2297-1769</v>
      </c>
      <c r="E2351" s="5">
        <v>3.4119999999999999</v>
      </c>
      <c r="F2351" s="5">
        <v>0.94499999999999995</v>
      </c>
    </row>
    <row r="2352" spans="2:6" x14ac:dyDescent="0.2">
      <c r="B2352" s="9" t="s">
        <v>1176</v>
      </c>
      <c r="C2352" s="15" t="s">
        <v>1177</v>
      </c>
      <c r="D2352" s="12" t="str">
        <f>"1438-793X"</f>
        <v>1438-793X</v>
      </c>
      <c r="E2352" s="5">
        <v>3.41</v>
      </c>
      <c r="F2352" s="5">
        <v>0.52600000000000002</v>
      </c>
    </row>
    <row r="2353" spans="2:6" x14ac:dyDescent="0.2">
      <c r="B2353" s="9" t="s">
        <v>5905</v>
      </c>
      <c r="C2353" s="15" t="s">
        <v>4248</v>
      </c>
      <c r="D2353" s="12" t="str">
        <f>"0767-3981"</f>
        <v>0767-3981</v>
      </c>
      <c r="E2353" s="5">
        <v>2.7480000000000002</v>
      </c>
      <c r="F2353" s="5">
        <v>0.36</v>
      </c>
    </row>
    <row r="2354" spans="2:6" x14ac:dyDescent="0.2">
      <c r="B2354" s="9" t="s">
        <v>9525</v>
      </c>
      <c r="C2354" s="15" t="s">
        <v>9526</v>
      </c>
      <c r="D2354" s="12" t="str">
        <f>"1749-4613"</f>
        <v>1749-4613</v>
      </c>
      <c r="E2354" s="5">
        <v>4.7060000000000004</v>
      </c>
      <c r="F2354" s="5">
        <v>0.86199999999999999</v>
      </c>
    </row>
    <row r="2355" spans="2:6" x14ac:dyDescent="0.2">
      <c r="B2355" s="9" t="s">
        <v>9527</v>
      </c>
      <c r="C2355" s="15" t="s">
        <v>9528</v>
      </c>
      <c r="D2355" s="12" t="str">
        <f>"1878-6146"</f>
        <v>1878-6146</v>
      </c>
      <c r="E2355" s="5">
        <v>3.0990000000000002</v>
      </c>
      <c r="F2355" s="5">
        <v>0.48299999999999998</v>
      </c>
    </row>
    <row r="2356" spans="2:6" x14ac:dyDescent="0.2">
      <c r="B2356" s="9" t="s">
        <v>5906</v>
      </c>
      <c r="C2356" s="15" t="s">
        <v>4249</v>
      </c>
      <c r="D2356" s="12" t="str">
        <f>"1560-2745"</f>
        <v>1560-2745</v>
      </c>
      <c r="E2356" s="5">
        <v>20.372</v>
      </c>
      <c r="F2356" s="5">
        <v>1</v>
      </c>
    </row>
    <row r="2357" spans="2:6" x14ac:dyDescent="0.2">
      <c r="B2357" s="9" t="s">
        <v>1178</v>
      </c>
      <c r="C2357" s="15" t="s">
        <v>1179</v>
      </c>
      <c r="D2357" s="12" t="str">
        <f>"1754-5048"</f>
        <v>1754-5048</v>
      </c>
      <c r="E2357" s="5">
        <v>3.4039999999999999</v>
      </c>
      <c r="F2357" s="5">
        <v>0.68100000000000005</v>
      </c>
    </row>
    <row r="2358" spans="2:6" x14ac:dyDescent="0.2">
      <c r="B2358" s="9" t="s">
        <v>5907</v>
      </c>
      <c r="C2358" s="15" t="s">
        <v>4250</v>
      </c>
      <c r="D2358" s="12" t="str">
        <f>"1087-1845"</f>
        <v>1087-1845</v>
      </c>
      <c r="E2358" s="5">
        <v>3.4950000000000001</v>
      </c>
      <c r="F2358" s="5">
        <v>0.65500000000000003</v>
      </c>
    </row>
    <row r="2359" spans="2:6" x14ac:dyDescent="0.2">
      <c r="B2359" s="9" t="s">
        <v>1180</v>
      </c>
      <c r="C2359" s="15" t="s">
        <v>1181</v>
      </c>
      <c r="D2359" s="12" t="str">
        <f>"1054-8289"</f>
        <v>1054-8289</v>
      </c>
      <c r="E2359" s="5">
        <v>3.2669999999999999</v>
      </c>
      <c r="F2359" s="5">
        <v>0.83499999999999996</v>
      </c>
    </row>
    <row r="2360" spans="2:6" x14ac:dyDescent="0.2">
      <c r="B2360" s="9" t="s">
        <v>9529</v>
      </c>
      <c r="C2360" s="15" t="s">
        <v>9530</v>
      </c>
      <c r="D2360" s="12" t="str">
        <f>"1756-8919"</f>
        <v>1756-8919</v>
      </c>
      <c r="E2360" s="5">
        <v>3.8079999999999998</v>
      </c>
      <c r="F2360" s="5">
        <v>0.61299999999999999</v>
      </c>
    </row>
    <row r="2361" spans="2:6" x14ac:dyDescent="0.2">
      <c r="B2361" s="9" t="s">
        <v>1182</v>
      </c>
      <c r="C2361" s="15" t="s">
        <v>1183</v>
      </c>
      <c r="D2361" s="12" t="str">
        <f>"1746-0921"</f>
        <v>1746-0921</v>
      </c>
      <c r="E2361" s="5">
        <v>3.165</v>
      </c>
      <c r="F2361" s="5">
        <v>0.4</v>
      </c>
    </row>
    <row r="2362" spans="2:6" x14ac:dyDescent="0.2">
      <c r="B2362" s="9" t="s">
        <v>9531</v>
      </c>
      <c r="C2362" s="15" t="s">
        <v>9532</v>
      </c>
      <c r="D2362" s="12" t="str">
        <f>"1479-6694"</f>
        <v>1479-6694</v>
      </c>
      <c r="E2362" s="5">
        <v>3.4039999999999999</v>
      </c>
      <c r="F2362" s="5">
        <v>0.34</v>
      </c>
    </row>
    <row r="2363" spans="2:6" x14ac:dyDescent="0.2">
      <c r="B2363" s="9" t="s">
        <v>1184</v>
      </c>
      <c r="C2363" s="15" t="s">
        <v>1185</v>
      </c>
      <c r="D2363" s="12" t="str">
        <f>"1746-0794"</f>
        <v>1746-0794</v>
      </c>
      <c r="E2363" s="5">
        <v>1.831</v>
      </c>
      <c r="F2363" s="5">
        <v>0.13900000000000001</v>
      </c>
    </row>
    <row r="2364" spans="2:6" x14ac:dyDescent="0.2">
      <c r="B2364" s="9" t="s">
        <v>5908</v>
      </c>
      <c r="C2364" s="15" t="s">
        <v>4251</v>
      </c>
      <c r="D2364" s="12" t="str">
        <f>"0165-0114"</f>
        <v>0165-0114</v>
      </c>
      <c r="E2364" s="5">
        <v>3.343</v>
      </c>
      <c r="F2364" s="5">
        <v>0.93600000000000005</v>
      </c>
    </row>
    <row r="2365" spans="2:6" x14ac:dyDescent="0.2">
      <c r="B2365" s="9" t="s">
        <v>9533</v>
      </c>
      <c r="C2365" s="15" t="s">
        <v>9534</v>
      </c>
      <c r="D2365" s="12" t="str">
        <f>"2160-1836"</f>
        <v>2160-1836</v>
      </c>
      <c r="E2365" s="5">
        <v>3.1539999999999999</v>
      </c>
      <c r="F2365" s="5">
        <v>0.46899999999999997</v>
      </c>
    </row>
    <row r="2366" spans="2:6" x14ac:dyDescent="0.2">
      <c r="B2366" s="9" t="s">
        <v>1186</v>
      </c>
      <c r="C2366" s="15" t="s">
        <v>1187</v>
      </c>
      <c r="D2366" s="12" t="str">
        <f>"0016-3813"</f>
        <v>0016-3813</v>
      </c>
      <c r="E2366" s="5">
        <v>0.30199999999999999</v>
      </c>
      <c r="F2366" s="5">
        <v>4.2000000000000003E-2</v>
      </c>
    </row>
    <row r="2367" spans="2:6" x14ac:dyDescent="0.2">
      <c r="B2367" s="9" t="s">
        <v>9535</v>
      </c>
      <c r="C2367" s="15" t="s">
        <v>9536</v>
      </c>
      <c r="D2367" s="12" t="str">
        <f>"0213-9111"</f>
        <v>0213-9111</v>
      </c>
      <c r="E2367" s="5">
        <v>2.1389999999999998</v>
      </c>
      <c r="F2367" s="5">
        <v>0.38600000000000001</v>
      </c>
    </row>
    <row r="2368" spans="2:6" x14ac:dyDescent="0.2">
      <c r="B2368" s="9" t="s">
        <v>5909</v>
      </c>
      <c r="C2368" s="15" t="s">
        <v>4252</v>
      </c>
      <c r="D2368" s="12" t="str">
        <f>"0966-6362"</f>
        <v>0966-6362</v>
      </c>
      <c r="E2368" s="5">
        <v>2.84</v>
      </c>
      <c r="F2368" s="5">
        <v>0.63</v>
      </c>
    </row>
    <row r="2369" spans="2:6" x14ac:dyDescent="0.2">
      <c r="B2369" s="9" t="s">
        <v>9537</v>
      </c>
      <c r="C2369" s="15" t="s">
        <v>9538</v>
      </c>
      <c r="D2369" s="12" t="str">
        <f>"2161-783X"</f>
        <v>2161-783X</v>
      </c>
      <c r="E2369" s="5">
        <v>3.2040000000000002</v>
      </c>
      <c r="F2369" s="5">
        <v>0.85699999999999998</v>
      </c>
    </row>
    <row r="2370" spans="2:6" x14ac:dyDescent="0.2">
      <c r="B2370" s="9" t="s">
        <v>1188</v>
      </c>
      <c r="C2370" s="15" t="s">
        <v>9539</v>
      </c>
      <c r="D2370" s="12" t="str">
        <f>"1436-3291"</f>
        <v>1436-3291</v>
      </c>
      <c r="E2370" s="5">
        <v>7.37</v>
      </c>
      <c r="F2370" s="5">
        <v>0.82599999999999996</v>
      </c>
    </row>
    <row r="2371" spans="2:6" x14ac:dyDescent="0.2">
      <c r="B2371" s="9" t="s">
        <v>5910</v>
      </c>
      <c r="C2371" s="15" t="s">
        <v>4253</v>
      </c>
      <c r="D2371" s="12" t="str">
        <f>"0889-8553"</f>
        <v>0889-8553</v>
      </c>
      <c r="E2371" s="5">
        <v>3.806</v>
      </c>
      <c r="F2371" s="5">
        <v>0.48899999999999999</v>
      </c>
    </row>
    <row r="2372" spans="2:6" x14ac:dyDescent="0.2">
      <c r="B2372" s="9" t="s">
        <v>1189</v>
      </c>
      <c r="C2372" s="15" t="s">
        <v>1190</v>
      </c>
      <c r="D2372" s="12" t="str">
        <f>"1538-9766"</f>
        <v>1538-9766</v>
      </c>
      <c r="E2372" s="5">
        <v>0.97799999999999998</v>
      </c>
      <c r="F2372" s="5">
        <v>0.111</v>
      </c>
    </row>
    <row r="2373" spans="2:6" x14ac:dyDescent="0.2">
      <c r="B2373" s="9" t="s">
        <v>5911</v>
      </c>
      <c r="C2373" s="15" t="s">
        <v>5911</v>
      </c>
      <c r="D2373" s="12" t="str">
        <f>"0016-5085"</f>
        <v>0016-5085</v>
      </c>
      <c r="E2373" s="5">
        <v>22.681999999999999</v>
      </c>
      <c r="F2373" s="5">
        <v>0.96699999999999997</v>
      </c>
    </row>
    <row r="2374" spans="2:6" x14ac:dyDescent="0.2">
      <c r="B2374" s="9" t="s">
        <v>9540</v>
      </c>
      <c r="C2374" s="15" t="s">
        <v>9541</v>
      </c>
      <c r="D2374" s="12" t="str">
        <f>"2052-0034"</f>
        <v>2052-0034</v>
      </c>
      <c r="E2374" s="5">
        <v>3.6509999999999998</v>
      </c>
      <c r="F2374" s="5">
        <v>0.42399999999999999</v>
      </c>
    </row>
    <row r="2375" spans="2:6" x14ac:dyDescent="0.2">
      <c r="B2375" s="9" t="s">
        <v>9542</v>
      </c>
      <c r="C2375" s="15" t="s">
        <v>9543</v>
      </c>
      <c r="D2375" s="12" t="str">
        <f>"0210-5705"</f>
        <v>0210-5705</v>
      </c>
      <c r="E2375" s="5">
        <v>2.1019999999999999</v>
      </c>
      <c r="F2375" s="5">
        <v>0.109</v>
      </c>
    </row>
    <row r="2376" spans="2:6" x14ac:dyDescent="0.2">
      <c r="B2376" s="9" t="s">
        <v>9544</v>
      </c>
      <c r="C2376" s="15" t="s">
        <v>9545</v>
      </c>
      <c r="D2376" s="12" t="str">
        <f>"1687-6121"</f>
        <v>1687-6121</v>
      </c>
      <c r="E2376" s="5">
        <v>2.2599999999999998</v>
      </c>
      <c r="F2376" s="5">
        <v>0.12</v>
      </c>
    </row>
    <row r="2377" spans="2:6" x14ac:dyDescent="0.2">
      <c r="B2377" s="9" t="s">
        <v>5912</v>
      </c>
      <c r="C2377" s="15" t="s">
        <v>4254</v>
      </c>
      <c r="D2377" s="12" t="str">
        <f>"0016-5107"</f>
        <v>0016-5107</v>
      </c>
      <c r="E2377" s="5">
        <v>9.4269999999999996</v>
      </c>
      <c r="F2377" s="5">
        <v>0.88</v>
      </c>
    </row>
    <row r="2378" spans="2:6" x14ac:dyDescent="0.2">
      <c r="B2378" s="9" t="s">
        <v>5913</v>
      </c>
      <c r="C2378" s="15" t="s">
        <v>4255</v>
      </c>
      <c r="D2378" s="12" t="str">
        <f>"0016-5751"</f>
        <v>0016-5751</v>
      </c>
      <c r="E2378" s="5">
        <v>2.915</v>
      </c>
      <c r="F2378" s="5">
        <v>0.57799999999999996</v>
      </c>
    </row>
    <row r="2379" spans="2:6" x14ac:dyDescent="0.2">
      <c r="B2379" s="9" t="s">
        <v>9546</v>
      </c>
      <c r="C2379" s="15" t="s">
        <v>9547</v>
      </c>
      <c r="D2379" s="12" t="str">
        <f>"0921-5077"</f>
        <v>0921-5077</v>
      </c>
      <c r="E2379" s="5">
        <v>0.156</v>
      </c>
      <c r="F2379" s="5">
        <v>1.6E-2</v>
      </c>
    </row>
    <row r="2380" spans="2:6" x14ac:dyDescent="0.2">
      <c r="B2380" s="9" t="s">
        <v>5914</v>
      </c>
      <c r="C2380" s="15" t="s">
        <v>4256</v>
      </c>
      <c r="D2380" s="12" t="str">
        <f>"0234-5730"</f>
        <v>0234-5730</v>
      </c>
      <c r="E2380" s="5">
        <v>0.17199999999999999</v>
      </c>
      <c r="F2380" s="5">
        <v>1.2999999999999999E-2</v>
      </c>
    </row>
    <row r="2381" spans="2:6" x14ac:dyDescent="0.2">
      <c r="B2381" s="9" t="s">
        <v>5915</v>
      </c>
      <c r="C2381" s="15" t="s">
        <v>4257</v>
      </c>
      <c r="D2381" s="12" t="str">
        <f>"0016-6480"</f>
        <v>0016-6480</v>
      </c>
      <c r="E2381" s="5">
        <v>2.8220000000000001</v>
      </c>
      <c r="F2381" s="5">
        <v>0.255</v>
      </c>
    </row>
    <row r="2382" spans="2:6" x14ac:dyDescent="0.2">
      <c r="B2382" s="9" t="s">
        <v>9548</v>
      </c>
      <c r="C2382" s="15" t="s">
        <v>9549</v>
      </c>
      <c r="D2382" s="12" t="str">
        <f>"1747-633X"</f>
        <v>1747-633X</v>
      </c>
      <c r="E2382" s="5">
        <v>0.97599999999999998</v>
      </c>
      <c r="F2382" s="5">
        <v>0.42199999999999999</v>
      </c>
    </row>
    <row r="2383" spans="2:6" x14ac:dyDescent="0.2">
      <c r="B2383" s="9" t="s">
        <v>1191</v>
      </c>
      <c r="C2383" s="15" t="s">
        <v>1192</v>
      </c>
      <c r="D2383" s="12" t="str">
        <f>"0966-369X"</f>
        <v>0966-369X</v>
      </c>
      <c r="E2383" s="5">
        <v>2.032</v>
      </c>
      <c r="F2383" s="5">
        <v>0.63600000000000001</v>
      </c>
    </row>
    <row r="2384" spans="2:6" x14ac:dyDescent="0.2">
      <c r="B2384" s="9" t="s">
        <v>1193</v>
      </c>
      <c r="C2384" s="15" t="s">
        <v>1194</v>
      </c>
      <c r="D2384" s="12" t="str">
        <f>"0891-2432"</f>
        <v>0891-2432</v>
      </c>
      <c r="E2384" s="5">
        <v>3.657</v>
      </c>
      <c r="F2384" s="5">
        <v>0.95499999999999996</v>
      </c>
    </row>
    <row r="2385" spans="2:6" x14ac:dyDescent="0.2">
      <c r="B2385" s="9" t="s">
        <v>1195</v>
      </c>
      <c r="C2385" s="15" t="s">
        <v>1196</v>
      </c>
      <c r="D2385" s="12" t="str">
        <f>"0968-6673"</f>
        <v>0968-6673</v>
      </c>
      <c r="E2385" s="5">
        <v>3.4649999999999999</v>
      </c>
      <c r="F2385" s="5">
        <v>0.93200000000000005</v>
      </c>
    </row>
    <row r="2386" spans="2:6" x14ac:dyDescent="0.2">
      <c r="B2386" s="9" t="s">
        <v>5918</v>
      </c>
      <c r="C2386" s="15" t="s">
        <v>5918</v>
      </c>
      <c r="D2386" s="12" t="str">
        <f>"0378-1119"</f>
        <v>0378-1119</v>
      </c>
      <c r="E2386" s="5">
        <v>3.6880000000000002</v>
      </c>
      <c r="F2386" s="5">
        <v>0.57699999999999996</v>
      </c>
    </row>
    <row r="2387" spans="2:6" x14ac:dyDescent="0.2">
      <c r="B2387" s="9" t="s">
        <v>5919</v>
      </c>
      <c r="C2387" s="15" t="s">
        <v>4260</v>
      </c>
      <c r="D2387" s="12" t="str">
        <f>"1045-2257"</f>
        <v>1045-2257</v>
      </c>
      <c r="E2387" s="5">
        <v>5.0060000000000002</v>
      </c>
      <c r="F2387" s="5">
        <v>0.78300000000000003</v>
      </c>
    </row>
    <row r="2388" spans="2:6" x14ac:dyDescent="0.2">
      <c r="B2388" s="9" t="s">
        <v>5920</v>
      </c>
      <c r="C2388" s="15" t="s">
        <v>4261</v>
      </c>
      <c r="D2388" s="12" t="str">
        <f>"0890-9369"</f>
        <v>0890-9369</v>
      </c>
      <c r="E2388" s="5">
        <v>11.361000000000001</v>
      </c>
      <c r="F2388" s="5">
        <v>0.95399999999999996</v>
      </c>
    </row>
    <row r="2389" spans="2:6" x14ac:dyDescent="0.2">
      <c r="B2389" s="9" t="s">
        <v>5921</v>
      </c>
      <c r="C2389" s="15" t="s">
        <v>4262</v>
      </c>
      <c r="D2389" s="12" t="str">
        <f>"1567-133X"</f>
        <v>1567-133X</v>
      </c>
      <c r="E2389" s="5">
        <v>1.224</v>
      </c>
      <c r="F2389" s="5">
        <v>9.8000000000000004E-2</v>
      </c>
    </row>
    <row r="2390" spans="2:6" x14ac:dyDescent="0.2">
      <c r="B2390" s="9" t="s">
        <v>9550</v>
      </c>
      <c r="C2390" s="15" t="s">
        <v>9551</v>
      </c>
      <c r="D2390" s="12" t="str">
        <f>"2073-4425"</f>
        <v>2073-4425</v>
      </c>
      <c r="E2390" s="5">
        <v>4.0960000000000001</v>
      </c>
      <c r="F2390" s="5">
        <v>0.63400000000000001</v>
      </c>
    </row>
    <row r="2391" spans="2:6" x14ac:dyDescent="0.2">
      <c r="B2391" s="9" t="s">
        <v>5923</v>
      </c>
      <c r="C2391" s="15" t="s">
        <v>4264</v>
      </c>
      <c r="D2391" s="12" t="str">
        <f>"1601-1848"</f>
        <v>1601-1848</v>
      </c>
      <c r="E2391" s="5">
        <v>3.4489999999999998</v>
      </c>
      <c r="F2391" s="5">
        <v>0.71699999999999997</v>
      </c>
    </row>
    <row r="2392" spans="2:6" x14ac:dyDescent="0.2">
      <c r="B2392" s="9" t="s">
        <v>5924</v>
      </c>
      <c r="C2392" s="15" t="s">
        <v>4265</v>
      </c>
      <c r="D2392" s="12" t="str">
        <f>"1356-9597"</f>
        <v>1356-9597</v>
      </c>
      <c r="E2392" s="5">
        <v>1.891</v>
      </c>
      <c r="F2392" s="5">
        <v>0.20599999999999999</v>
      </c>
    </row>
    <row r="2393" spans="2:6" x14ac:dyDescent="0.2">
      <c r="B2393" s="9" t="s">
        <v>9552</v>
      </c>
      <c r="C2393" s="15" t="s">
        <v>9553</v>
      </c>
      <c r="D2393" s="12" t="str">
        <f>"2352-4820"</f>
        <v>2352-4820</v>
      </c>
      <c r="E2393" s="5">
        <v>7.1029999999999998</v>
      </c>
      <c r="F2393" s="5">
        <v>0.89700000000000002</v>
      </c>
    </row>
    <row r="2394" spans="2:6" x14ac:dyDescent="0.2">
      <c r="B2394" s="9" t="s">
        <v>9554</v>
      </c>
      <c r="C2394" s="15" t="s">
        <v>9555</v>
      </c>
      <c r="D2394" s="12" t="str">
        <f>"1880-7046"</f>
        <v>1880-7046</v>
      </c>
      <c r="E2394" s="5">
        <v>2.085</v>
      </c>
      <c r="F2394" s="5">
        <v>0.246</v>
      </c>
    </row>
    <row r="2395" spans="2:6" x14ac:dyDescent="0.2">
      <c r="B2395" s="9" t="s">
        <v>5925</v>
      </c>
      <c r="C2395" s="15" t="s">
        <v>4266</v>
      </c>
      <c r="D2395" s="12" t="str">
        <f>"1341-7568"</f>
        <v>1341-7568</v>
      </c>
      <c r="E2395" s="5">
        <v>1.5169999999999999</v>
      </c>
      <c r="F2395" s="5">
        <v>0.114</v>
      </c>
    </row>
    <row r="2396" spans="2:6" x14ac:dyDescent="0.2">
      <c r="B2396" s="9" t="s">
        <v>1197</v>
      </c>
      <c r="C2396" s="15" t="s">
        <v>1198</v>
      </c>
      <c r="D2396" s="12" t="str">
        <f>"1976-9571"</f>
        <v>1976-9571</v>
      </c>
      <c r="E2396" s="5">
        <v>1.839</v>
      </c>
      <c r="F2396" s="5">
        <v>0.19400000000000001</v>
      </c>
    </row>
    <row r="2397" spans="2:6" x14ac:dyDescent="0.2">
      <c r="B2397" s="9" t="s">
        <v>5926</v>
      </c>
      <c r="C2397" s="15" t="s">
        <v>4267</v>
      </c>
      <c r="D2397" s="12" t="str">
        <f>"1476-5470"</f>
        <v>1476-5470</v>
      </c>
      <c r="E2397" s="5">
        <v>2.6760000000000002</v>
      </c>
      <c r="F2397" s="5">
        <v>0.38900000000000001</v>
      </c>
    </row>
    <row r="2398" spans="2:6" x14ac:dyDescent="0.2">
      <c r="B2398" s="9" t="s">
        <v>5927</v>
      </c>
      <c r="C2398" s="15" t="s">
        <v>5927</v>
      </c>
      <c r="D2398" s="12" t="str">
        <f>"2268-1590"</f>
        <v>2268-1590</v>
      </c>
      <c r="E2398" s="5">
        <v>2.4870000000000001</v>
      </c>
      <c r="F2398" s="5">
        <v>0.48799999999999999</v>
      </c>
    </row>
    <row r="2399" spans="2:6" x14ac:dyDescent="0.2">
      <c r="B2399" s="9" t="s">
        <v>1199</v>
      </c>
      <c r="C2399" s="15" t="s">
        <v>1200</v>
      </c>
      <c r="D2399" s="12" t="str">
        <f>"1555-8932"</f>
        <v>1555-8932</v>
      </c>
      <c r="E2399" s="5">
        <v>5.5229999999999997</v>
      </c>
      <c r="F2399" s="5">
        <v>0.81699999999999995</v>
      </c>
    </row>
    <row r="2400" spans="2:6" x14ac:dyDescent="0.2">
      <c r="B2400" s="9" t="s">
        <v>5928</v>
      </c>
      <c r="C2400" s="15" t="s">
        <v>4268</v>
      </c>
      <c r="D2400" s="12" t="str">
        <f>"0741-0395"</f>
        <v>0741-0395</v>
      </c>
      <c r="E2400" s="5">
        <v>2.1349999999999998</v>
      </c>
      <c r="F2400" s="5">
        <v>0.39700000000000002</v>
      </c>
    </row>
    <row r="2401" spans="2:6" x14ac:dyDescent="0.2">
      <c r="B2401" s="9" t="s">
        <v>5922</v>
      </c>
      <c r="C2401" s="15" t="s">
        <v>4263</v>
      </c>
      <c r="D2401" s="12" t="str">
        <f>"0969-7128"</f>
        <v>0969-7128</v>
      </c>
      <c r="E2401" s="5">
        <v>5.25</v>
      </c>
      <c r="F2401" s="5">
        <v>0.80600000000000005</v>
      </c>
    </row>
    <row r="2402" spans="2:6" x14ac:dyDescent="0.2">
      <c r="B2402" s="9" t="s">
        <v>6749</v>
      </c>
      <c r="C2402" s="15" t="s">
        <v>6749</v>
      </c>
      <c r="D2402" s="12" t="str">
        <f>"0016-6707"</f>
        <v>0016-6707</v>
      </c>
      <c r="E2402" s="5">
        <v>1.0820000000000001</v>
      </c>
      <c r="F2402" s="5">
        <v>0.08</v>
      </c>
    </row>
    <row r="2403" spans="2:6" x14ac:dyDescent="0.2">
      <c r="B2403" s="9" t="s">
        <v>6750</v>
      </c>
      <c r="C2403" s="15" t="s">
        <v>6750</v>
      </c>
      <c r="D2403" s="12" t="str">
        <f>"0016-6731"</f>
        <v>0016-6731</v>
      </c>
      <c r="E2403" s="5">
        <v>4.5620000000000003</v>
      </c>
      <c r="F2403" s="5">
        <v>0.71399999999999997</v>
      </c>
    </row>
    <row r="2404" spans="2:6" x14ac:dyDescent="0.2">
      <c r="B2404" s="9" t="s">
        <v>9556</v>
      </c>
      <c r="C2404" s="15" t="s">
        <v>9557</v>
      </c>
      <c r="D2404" s="12" t="str">
        <f>"0534-0012"</f>
        <v>0534-0012</v>
      </c>
      <c r="E2404" s="5">
        <v>0.76100000000000001</v>
      </c>
      <c r="F2404" s="5">
        <v>0.17599999999999999</v>
      </c>
    </row>
    <row r="2405" spans="2:6" x14ac:dyDescent="0.2">
      <c r="B2405" s="9" t="s">
        <v>5929</v>
      </c>
      <c r="C2405" s="15" t="s">
        <v>4269</v>
      </c>
      <c r="D2405" s="12" t="str">
        <f>"1530-0366"</f>
        <v>1530-0366</v>
      </c>
      <c r="E2405" s="5">
        <v>8.8219999999999992</v>
      </c>
      <c r="F2405" s="5">
        <v>0.92</v>
      </c>
    </row>
    <row r="2406" spans="2:6" x14ac:dyDescent="0.2">
      <c r="B2406" s="9" t="s">
        <v>5930</v>
      </c>
      <c r="C2406" s="15" t="s">
        <v>4270</v>
      </c>
      <c r="D2406" s="12" t="str">
        <f>"1415-4757"</f>
        <v>1415-4757</v>
      </c>
      <c r="E2406" s="5">
        <v>1.7709999999999999</v>
      </c>
      <c r="F2406" s="5">
        <v>0.16600000000000001</v>
      </c>
    </row>
    <row r="2407" spans="2:6" x14ac:dyDescent="0.2">
      <c r="B2407" s="9" t="s">
        <v>5931</v>
      </c>
      <c r="C2407" s="15" t="s">
        <v>9558</v>
      </c>
      <c r="D2407" s="12" t="str">
        <f>"0016-6723"</f>
        <v>0016-6723</v>
      </c>
      <c r="E2407" s="5">
        <v>1.5880000000000001</v>
      </c>
      <c r="F2407" s="5">
        <v>0.13100000000000001</v>
      </c>
    </row>
    <row r="2408" spans="2:6" x14ac:dyDescent="0.2">
      <c r="B2408" s="9" t="s">
        <v>5932</v>
      </c>
      <c r="C2408" s="15" t="s">
        <v>4271</v>
      </c>
      <c r="D2408" s="12" t="str">
        <f>"1297-9686"</f>
        <v>1297-9686</v>
      </c>
      <c r="E2408" s="5">
        <v>4.2969999999999997</v>
      </c>
      <c r="F2408" s="5">
        <v>0.93700000000000006</v>
      </c>
    </row>
    <row r="2409" spans="2:6" x14ac:dyDescent="0.2">
      <c r="B2409" s="9" t="s">
        <v>9559</v>
      </c>
      <c r="C2409" s="15" t="s">
        <v>9560</v>
      </c>
      <c r="D2409" s="12" t="str">
        <f>"1945-0257"</f>
        <v>1945-0257</v>
      </c>
      <c r="E2409" s="5">
        <v>1.7949999999999999</v>
      </c>
      <c r="F2409" s="5">
        <v>0.17100000000000001</v>
      </c>
    </row>
    <row r="2410" spans="2:6" x14ac:dyDescent="0.2">
      <c r="B2410" s="9" t="s">
        <v>5916</v>
      </c>
      <c r="C2410" s="15" t="s">
        <v>4258</v>
      </c>
      <c r="D2410" s="12" t="str">
        <f>"0163-8343"</f>
        <v>0163-8343</v>
      </c>
      <c r="E2410" s="5">
        <v>3.238</v>
      </c>
      <c r="F2410" s="5">
        <v>0.56499999999999995</v>
      </c>
    </row>
    <row r="2411" spans="2:6" x14ac:dyDescent="0.2">
      <c r="B2411" s="9" t="s">
        <v>6751</v>
      </c>
      <c r="C2411" s="15" t="s">
        <v>6751</v>
      </c>
      <c r="D2411" s="12" t="str">
        <f>"0831-2796"</f>
        <v>0831-2796</v>
      </c>
      <c r="E2411" s="5">
        <v>2.1659999999999999</v>
      </c>
      <c r="F2411" s="5">
        <v>0.26900000000000002</v>
      </c>
    </row>
    <row r="2412" spans="2:6" x14ac:dyDescent="0.2">
      <c r="B2412" s="9" t="s">
        <v>6752</v>
      </c>
      <c r="C2412" s="15" t="s">
        <v>4272</v>
      </c>
      <c r="D2412" s="12" t="str">
        <f>"1465-6906"</f>
        <v>1465-6906</v>
      </c>
      <c r="E2412" s="5">
        <v>13.583</v>
      </c>
      <c r="F2412" s="5">
        <v>0.97499999999999998</v>
      </c>
    </row>
    <row r="2413" spans="2:6" x14ac:dyDescent="0.2">
      <c r="B2413" s="9" t="s">
        <v>9561</v>
      </c>
      <c r="C2413" s="15" t="s">
        <v>9562</v>
      </c>
      <c r="D2413" s="12" t="str">
        <f>"1759-6653"</f>
        <v>1759-6653</v>
      </c>
      <c r="E2413" s="5">
        <v>3.4159999999999999</v>
      </c>
      <c r="F2413" s="5">
        <v>0.62</v>
      </c>
    </row>
    <row r="2414" spans="2:6" x14ac:dyDescent="0.2">
      <c r="B2414" s="9" t="s">
        <v>9563</v>
      </c>
      <c r="C2414" s="15" t="s">
        <v>9564</v>
      </c>
      <c r="D2414" s="12" t="str">
        <f>"1756-994X"</f>
        <v>1756-994X</v>
      </c>
      <c r="E2414" s="5">
        <v>11.117000000000001</v>
      </c>
      <c r="F2414" s="5">
        <v>0.94899999999999995</v>
      </c>
    </row>
    <row r="2415" spans="2:6" x14ac:dyDescent="0.2">
      <c r="B2415" s="9" t="s">
        <v>6753</v>
      </c>
      <c r="C2415" s="15" t="s">
        <v>4273</v>
      </c>
      <c r="D2415" s="12" t="str">
        <f>"1549-5469"</f>
        <v>1549-5469</v>
      </c>
      <c r="E2415" s="5">
        <v>9.0429999999999993</v>
      </c>
      <c r="F2415" s="5">
        <v>0.93100000000000005</v>
      </c>
    </row>
    <row r="2416" spans="2:6" x14ac:dyDescent="0.2">
      <c r="B2416" s="9" t="s">
        <v>6754</v>
      </c>
      <c r="C2416" s="15" t="s">
        <v>6754</v>
      </c>
      <c r="D2416" s="12" t="str">
        <f>"0888-7543"</f>
        <v>0888-7543</v>
      </c>
      <c r="E2416" s="5">
        <v>5.7359999999999998</v>
      </c>
      <c r="F2416" s="5">
        <v>0.86099999999999999</v>
      </c>
    </row>
    <row r="2417" spans="2:6" x14ac:dyDescent="0.2">
      <c r="B2417" s="9" t="s">
        <v>9565</v>
      </c>
      <c r="C2417" s="15" t="s">
        <v>9566</v>
      </c>
      <c r="D2417" s="12" t="str">
        <f>"1672-0229"</f>
        <v>1672-0229</v>
      </c>
      <c r="E2417" s="5">
        <v>7.6909999999999998</v>
      </c>
      <c r="F2417" s="5">
        <v>0.90900000000000003</v>
      </c>
    </row>
    <row r="2418" spans="2:6" x14ac:dyDescent="0.2">
      <c r="B2418" s="9" t="s">
        <v>5917</v>
      </c>
      <c r="C2418" s="15" t="s">
        <v>4259</v>
      </c>
      <c r="D2418" s="12" t="str">
        <f>"1338-4325"</f>
        <v>1338-4325</v>
      </c>
      <c r="E2418" s="5">
        <v>1.512</v>
      </c>
      <c r="F2418" s="5">
        <v>0.14099999999999999</v>
      </c>
    </row>
    <row r="2419" spans="2:6" x14ac:dyDescent="0.2">
      <c r="B2419" s="9" t="s">
        <v>9567</v>
      </c>
      <c r="C2419" s="15" t="s">
        <v>9568</v>
      </c>
      <c r="D2419" s="12" t="str">
        <f>"1863-6705"</f>
        <v>1863-6705</v>
      </c>
      <c r="E2419" s="5">
        <v>1.5169999999999999</v>
      </c>
      <c r="F2419" s="5">
        <v>0.21</v>
      </c>
    </row>
    <row r="2420" spans="2:6" x14ac:dyDescent="0.2">
      <c r="B2420" s="9" t="s">
        <v>1201</v>
      </c>
      <c r="C2420" s="15" t="s">
        <v>1202</v>
      </c>
      <c r="D2420" s="12" t="str">
        <f>"1472-4669"</f>
        <v>1472-4669</v>
      </c>
      <c r="E2420" s="5">
        <v>4.407</v>
      </c>
      <c r="F2420" s="5">
        <v>0.84399999999999997</v>
      </c>
    </row>
    <row r="2421" spans="2:6" x14ac:dyDescent="0.2">
      <c r="B2421" s="9" t="s">
        <v>9569</v>
      </c>
      <c r="C2421" s="15" t="s">
        <v>9570</v>
      </c>
      <c r="D2421" s="12" t="str">
        <f>"2471-1403"</f>
        <v>2471-1403</v>
      </c>
      <c r="E2421" s="5">
        <v>4.5289999999999999</v>
      </c>
      <c r="F2421" s="5">
        <v>0.84599999999999997</v>
      </c>
    </row>
    <row r="2422" spans="2:6" x14ac:dyDescent="0.2">
      <c r="B2422" s="9" t="s">
        <v>1203</v>
      </c>
      <c r="C2422" s="15" t="s">
        <v>1204</v>
      </c>
      <c r="D2422" s="12" t="str">
        <f>"1827-1987"</f>
        <v>1827-1987</v>
      </c>
      <c r="E2422" s="5">
        <v>1.212</v>
      </c>
      <c r="F2422" s="5">
        <v>0.11600000000000001</v>
      </c>
    </row>
    <row r="2423" spans="2:6" x14ac:dyDescent="0.2">
      <c r="B2423" s="9" t="s">
        <v>1205</v>
      </c>
      <c r="C2423" s="15" t="s">
        <v>1206</v>
      </c>
      <c r="D2423" s="12" t="str">
        <f>"1447-0594"</f>
        <v>1447-0594</v>
      </c>
      <c r="E2423" s="5">
        <v>2.73</v>
      </c>
      <c r="F2423" s="5">
        <v>0.61099999999999999</v>
      </c>
    </row>
    <row r="2424" spans="2:6" x14ac:dyDescent="0.2">
      <c r="B2424" s="9" t="s">
        <v>6755</v>
      </c>
      <c r="C2424" s="15" t="s">
        <v>4274</v>
      </c>
      <c r="D2424" s="12" t="str">
        <f>"0197-4572"</f>
        <v>0197-4572</v>
      </c>
      <c r="E2424" s="5">
        <v>2.3610000000000002</v>
      </c>
      <c r="F2424" s="5">
        <v>0.746</v>
      </c>
    </row>
    <row r="2425" spans="2:6" x14ac:dyDescent="0.2">
      <c r="B2425" s="9" t="s">
        <v>9571</v>
      </c>
      <c r="C2425" s="15" t="s">
        <v>9572</v>
      </c>
      <c r="D2425" s="12" t="str">
        <f>"2151-4585"</f>
        <v>2151-4585</v>
      </c>
      <c r="E2425" s="5">
        <v>1.87</v>
      </c>
      <c r="F2425" s="5">
        <v>0.36099999999999999</v>
      </c>
    </row>
    <row r="2426" spans="2:6" x14ac:dyDescent="0.2">
      <c r="B2426" s="9" t="s">
        <v>9573</v>
      </c>
      <c r="C2426" s="15" t="s">
        <v>9574</v>
      </c>
      <c r="D2426" s="12" t="str">
        <f>"2115-8789"</f>
        <v>2115-8789</v>
      </c>
      <c r="E2426" s="5">
        <v>0.83799999999999997</v>
      </c>
      <c r="F2426" s="5">
        <v>0.104</v>
      </c>
    </row>
    <row r="2427" spans="2:6" x14ac:dyDescent="0.2">
      <c r="B2427" s="9" t="s">
        <v>9575</v>
      </c>
      <c r="C2427" s="15" t="s">
        <v>9576</v>
      </c>
      <c r="D2427" s="12" t="str">
        <f>"2397-0022"</f>
        <v>2397-0022</v>
      </c>
      <c r="E2427" s="5">
        <v>1.367</v>
      </c>
      <c r="F2427" s="5">
        <v>0.13300000000000001</v>
      </c>
    </row>
    <row r="2428" spans="2:6" x14ac:dyDescent="0.2">
      <c r="B2428" s="9" t="s">
        <v>9577</v>
      </c>
      <c r="C2428" s="15" t="s">
        <v>9577</v>
      </c>
      <c r="D2428" s="12" t="str">
        <f>"0734-0664"</f>
        <v>0734-0664</v>
      </c>
      <c r="E2428" s="5">
        <v>2.98</v>
      </c>
      <c r="F2428" s="5">
        <v>0.68100000000000005</v>
      </c>
    </row>
    <row r="2429" spans="2:6" x14ac:dyDescent="0.2">
      <c r="B2429" s="9" t="s">
        <v>6756</v>
      </c>
      <c r="C2429" s="15" t="s">
        <v>6756</v>
      </c>
      <c r="D2429" s="12" t="str">
        <f>"0304-324X"</f>
        <v>0304-324X</v>
      </c>
      <c r="E2429" s="5">
        <v>5.14</v>
      </c>
      <c r="F2429" s="5">
        <v>0.77400000000000002</v>
      </c>
    </row>
    <row r="2430" spans="2:6" x14ac:dyDescent="0.2">
      <c r="B2430" s="9" t="s">
        <v>9578</v>
      </c>
      <c r="C2430" s="15" t="s">
        <v>9579</v>
      </c>
      <c r="D2430" s="12" t="str">
        <f>"2509-2715"</f>
        <v>2509-2715</v>
      </c>
      <c r="E2430" s="5">
        <v>7.7130000000000001</v>
      </c>
      <c r="F2430" s="5">
        <v>0.92500000000000004</v>
      </c>
    </row>
    <row r="2431" spans="2:6" x14ac:dyDescent="0.2">
      <c r="B2431" s="9" t="s">
        <v>1207</v>
      </c>
      <c r="C2431" s="15" t="s">
        <v>1207</v>
      </c>
      <c r="D2431" s="12" t="str">
        <f>"0941-3790"</f>
        <v>0941-3790</v>
      </c>
      <c r="E2431" s="5">
        <v>0.996</v>
      </c>
      <c r="F2431" s="5">
        <v>7.1999999999999995E-2</v>
      </c>
    </row>
    <row r="2432" spans="2:6" x14ac:dyDescent="0.2">
      <c r="B2432" s="9" t="s">
        <v>9580</v>
      </c>
      <c r="C2432" s="15" t="s">
        <v>9581</v>
      </c>
      <c r="D2432" s="12" t="str">
        <f>"0016-9862"</f>
        <v>0016-9862</v>
      </c>
      <c r="E2432" s="5">
        <v>3.5640000000000001</v>
      </c>
      <c r="F2432" s="5">
        <v>0.93200000000000005</v>
      </c>
    </row>
    <row r="2433" spans="2:6" x14ac:dyDescent="0.2">
      <c r="B2433" s="9" t="s">
        <v>9582</v>
      </c>
      <c r="C2433" s="15" t="s">
        <v>9583</v>
      </c>
      <c r="D2433" s="12" t="str">
        <f>"2047-217X"</f>
        <v>2047-217X</v>
      </c>
      <c r="E2433" s="5">
        <v>6.524</v>
      </c>
      <c r="F2433" s="5">
        <v>0.875</v>
      </c>
    </row>
    <row r="2434" spans="2:6" x14ac:dyDescent="0.2">
      <c r="B2434" s="9" t="s">
        <v>9584</v>
      </c>
      <c r="C2434" s="15" t="s">
        <v>9585</v>
      </c>
      <c r="D2434" s="12" t="str">
        <f>"0017-0011"</f>
        <v>0017-0011</v>
      </c>
      <c r="E2434" s="5">
        <v>1.232</v>
      </c>
      <c r="F2434" s="5">
        <v>7.1999999999999995E-2</v>
      </c>
    </row>
    <row r="2435" spans="2:6" x14ac:dyDescent="0.2">
      <c r="B2435" s="9" t="s">
        <v>9586</v>
      </c>
      <c r="C2435" s="15" t="s">
        <v>9587</v>
      </c>
      <c r="D2435" s="12" t="str">
        <f>"1827-1820"</f>
        <v>1827-1820</v>
      </c>
      <c r="E2435" s="5">
        <v>2.0110000000000001</v>
      </c>
      <c r="F2435" s="5">
        <v>0.29399999999999998</v>
      </c>
    </row>
    <row r="2436" spans="2:6" x14ac:dyDescent="0.2">
      <c r="B2436" s="9" t="s">
        <v>9588</v>
      </c>
      <c r="C2436" s="15" t="s">
        <v>9589</v>
      </c>
      <c r="D2436" s="12" t="str">
        <f>"2227-684X"</f>
        <v>2227-684X</v>
      </c>
      <c r="E2436" s="5">
        <v>2.9529999999999998</v>
      </c>
      <c r="F2436" s="5">
        <v>0.64300000000000002</v>
      </c>
    </row>
    <row r="2437" spans="2:6" x14ac:dyDescent="0.2">
      <c r="B2437" s="9" t="s">
        <v>6757</v>
      </c>
      <c r="C2437" s="15" t="s">
        <v>6757</v>
      </c>
      <c r="D2437" s="12" t="str">
        <f>"0894-1491"</f>
        <v>0894-1491</v>
      </c>
      <c r="E2437" s="5">
        <v>7.452</v>
      </c>
      <c r="F2437" s="5">
        <v>0.88300000000000001</v>
      </c>
    </row>
    <row r="2438" spans="2:6" x14ac:dyDescent="0.2">
      <c r="B2438" s="9" t="s">
        <v>9590</v>
      </c>
      <c r="C2438" s="15" t="s">
        <v>9591</v>
      </c>
      <c r="D2438" s="12" t="str">
        <f>"1654-9716"</f>
        <v>1654-9716</v>
      </c>
      <c r="E2438" s="5">
        <v>2.64</v>
      </c>
      <c r="F2438" s="5">
        <v>0.54600000000000004</v>
      </c>
    </row>
    <row r="2439" spans="2:6" x14ac:dyDescent="0.2">
      <c r="B2439" s="9" t="s">
        <v>9592</v>
      </c>
      <c r="C2439" s="15" t="s">
        <v>9593</v>
      </c>
      <c r="D2439" s="12" t="str">
        <f>"1744-8603"</f>
        <v>1744-8603</v>
      </c>
      <c r="E2439" s="5">
        <v>4.1849999999999996</v>
      </c>
      <c r="F2439" s="5">
        <v>0.82299999999999995</v>
      </c>
    </row>
    <row r="2440" spans="2:6" x14ac:dyDescent="0.2">
      <c r="B2440" s="9" t="s">
        <v>9594</v>
      </c>
      <c r="C2440" s="15" t="s">
        <v>9595</v>
      </c>
      <c r="D2440" s="12" t="str">
        <f>"1474-7731"</f>
        <v>1474-7731</v>
      </c>
      <c r="E2440" s="5">
        <v>2.1549999999999998</v>
      </c>
      <c r="F2440" s="5">
        <v>0.58699999999999997</v>
      </c>
    </row>
    <row r="2441" spans="2:6" x14ac:dyDescent="0.2">
      <c r="B2441" s="9" t="s">
        <v>9596</v>
      </c>
      <c r="C2441" s="15" t="s">
        <v>9597</v>
      </c>
      <c r="D2441" s="12" t="str">
        <f>"2056-6646"</f>
        <v>2056-6646</v>
      </c>
      <c r="E2441" s="5">
        <v>3.847</v>
      </c>
      <c r="F2441" s="5">
        <v>0.70799999999999996</v>
      </c>
    </row>
    <row r="2442" spans="2:6" x14ac:dyDescent="0.2">
      <c r="B2442" s="9" t="s">
        <v>9598</v>
      </c>
      <c r="C2442" s="15" t="s">
        <v>9599</v>
      </c>
      <c r="D2442" s="12" t="str">
        <f>"1757-9759"</f>
        <v>1757-9759</v>
      </c>
      <c r="E2442" s="5">
        <v>1.976</v>
      </c>
      <c r="F2442" s="5">
        <v>0.34499999999999997</v>
      </c>
    </row>
    <row r="2443" spans="2:6" x14ac:dyDescent="0.2">
      <c r="B2443" s="9" t="s">
        <v>9600</v>
      </c>
      <c r="C2443" s="15" t="s">
        <v>9601</v>
      </c>
      <c r="D2443" s="12" t="str">
        <f>"2169-575X"</f>
        <v>2169-575X</v>
      </c>
      <c r="E2443" s="5">
        <v>2.4529999999999998</v>
      </c>
      <c r="F2443" s="5">
        <v>0.49099999999999999</v>
      </c>
    </row>
    <row r="2444" spans="2:6" x14ac:dyDescent="0.2">
      <c r="B2444" s="9" t="s">
        <v>9602</v>
      </c>
      <c r="C2444" s="15" t="s">
        <v>9603</v>
      </c>
      <c r="D2444" s="12" t="str">
        <f>"2211-8160"</f>
        <v>2211-8160</v>
      </c>
      <c r="E2444" s="5">
        <v>3.4260000000000002</v>
      </c>
      <c r="F2444" s="5">
        <v>0.56000000000000005</v>
      </c>
    </row>
    <row r="2445" spans="2:6" x14ac:dyDescent="0.2">
      <c r="B2445" s="9" t="s">
        <v>9604</v>
      </c>
      <c r="C2445" s="15" t="s">
        <v>9605</v>
      </c>
      <c r="D2445" s="12" t="str">
        <f>"2054-4251"</f>
        <v>2054-4251</v>
      </c>
      <c r="E2445" s="5">
        <v>3.5</v>
      </c>
      <c r="F2445" s="5">
        <v>0.61599999999999999</v>
      </c>
    </row>
    <row r="2446" spans="2:6" x14ac:dyDescent="0.2">
      <c r="B2446" s="9" t="s">
        <v>9606</v>
      </c>
      <c r="C2446" s="15" t="s">
        <v>9607</v>
      </c>
      <c r="D2446" s="12" t="str">
        <f>"1744-1692"</f>
        <v>1744-1692</v>
      </c>
      <c r="E2446" s="5">
        <v>2.3959999999999999</v>
      </c>
      <c r="F2446" s="5">
        <v>0.46400000000000002</v>
      </c>
    </row>
    <row r="2447" spans="2:6" x14ac:dyDescent="0.2">
      <c r="B2447" s="9" t="s">
        <v>9608</v>
      </c>
      <c r="C2447" s="15" t="s">
        <v>9609</v>
      </c>
      <c r="D2447" s="12" t="str">
        <f>"2192-5690"</f>
        <v>2192-5690</v>
      </c>
      <c r="E2447" s="5">
        <v>2.915</v>
      </c>
      <c r="F2447" s="5">
        <v>0.65400000000000003</v>
      </c>
    </row>
    <row r="2448" spans="2:6" x14ac:dyDescent="0.2">
      <c r="B2448" s="9" t="s">
        <v>1208</v>
      </c>
      <c r="C2448" s="15" t="s">
        <v>1209</v>
      </c>
      <c r="D2448" s="12" t="str">
        <f>"1064-2684"</f>
        <v>1064-2684</v>
      </c>
      <c r="E2448" s="5">
        <v>0.59699999999999998</v>
      </c>
      <c r="F2448" s="5">
        <v>0.16500000000000001</v>
      </c>
    </row>
    <row r="2449" spans="2:6" x14ac:dyDescent="0.2">
      <c r="B2449" s="9" t="s">
        <v>6758</v>
      </c>
      <c r="C2449" s="15" t="s">
        <v>6758</v>
      </c>
      <c r="D2449" s="12" t="str">
        <f>"0959-6658"</f>
        <v>0959-6658</v>
      </c>
      <c r="E2449" s="5">
        <v>4.3129999999999997</v>
      </c>
      <c r="F2449" s="5">
        <v>0.59799999999999998</v>
      </c>
    </row>
    <row r="2450" spans="2:6" x14ac:dyDescent="0.2">
      <c r="B2450" s="9" t="s">
        <v>6759</v>
      </c>
      <c r="C2450" s="15" t="s">
        <v>4275</v>
      </c>
      <c r="D2450" s="12" t="str">
        <f>"0282-0080"</f>
        <v>0282-0080</v>
      </c>
      <c r="E2450" s="5">
        <v>2.9159999999999999</v>
      </c>
      <c r="F2450" s="5">
        <v>0.314</v>
      </c>
    </row>
    <row r="2451" spans="2:6" x14ac:dyDescent="0.2">
      <c r="B2451" s="9" t="s">
        <v>9610</v>
      </c>
      <c r="C2451" s="15" t="s">
        <v>9611</v>
      </c>
      <c r="D2451" s="12" t="str">
        <f>"2164-5698"</f>
        <v>2164-5698</v>
      </c>
      <c r="E2451" s="5">
        <v>3.0739999999999998</v>
      </c>
      <c r="F2451" s="5">
        <v>0.69399999999999995</v>
      </c>
    </row>
    <row r="2452" spans="2:6" x14ac:dyDescent="0.2">
      <c r="B2452" s="9" t="s">
        <v>1210</v>
      </c>
      <c r="C2452" s="15" t="s">
        <v>1211</v>
      </c>
      <c r="D2452" s="12" t="str">
        <f>"0740-624X"</f>
        <v>0740-624X</v>
      </c>
      <c r="E2452" s="5">
        <v>7.2789999999999999</v>
      </c>
      <c r="F2452" s="5">
        <v>0.92900000000000005</v>
      </c>
    </row>
    <row r="2453" spans="2:6" x14ac:dyDescent="0.2">
      <c r="B2453" s="9" t="s">
        <v>6760</v>
      </c>
      <c r="C2453" s="15" t="s">
        <v>4276</v>
      </c>
      <c r="D2453" s="12" t="str">
        <f>"0721-832X"</f>
        <v>0721-832X</v>
      </c>
      <c r="E2453" s="5">
        <v>3.117</v>
      </c>
      <c r="F2453" s="5">
        <v>0.64500000000000002</v>
      </c>
    </row>
    <row r="2454" spans="2:6" x14ac:dyDescent="0.2">
      <c r="B2454" s="9" t="s">
        <v>6761</v>
      </c>
      <c r="C2454" s="15" t="s">
        <v>4277</v>
      </c>
      <c r="D2454" s="12" t="str">
        <f>"1463-9262"</f>
        <v>1463-9262</v>
      </c>
      <c r="E2454" s="5">
        <v>10.182</v>
      </c>
      <c r="F2454" s="5">
        <v>0.96</v>
      </c>
    </row>
    <row r="2455" spans="2:6" x14ac:dyDescent="0.2">
      <c r="B2455" s="9" t="s">
        <v>9612</v>
      </c>
      <c r="C2455" s="15" t="s">
        <v>9613</v>
      </c>
      <c r="D2455" s="12" t="str">
        <f>"1751-8253"</f>
        <v>1751-8253</v>
      </c>
      <c r="E2455" s="5">
        <v>4.99</v>
      </c>
      <c r="F2455" s="5">
        <v>0.69099999999999995</v>
      </c>
    </row>
    <row r="2456" spans="2:6" x14ac:dyDescent="0.2">
      <c r="B2456" s="9" t="s">
        <v>9614</v>
      </c>
      <c r="C2456" s="15" t="s">
        <v>9615</v>
      </c>
      <c r="D2456" s="12" t="str">
        <f>"2191-9542"</f>
        <v>2191-9542</v>
      </c>
      <c r="E2456" s="5">
        <v>2.83</v>
      </c>
      <c r="F2456" s="5">
        <v>0.48299999999999998</v>
      </c>
    </row>
    <row r="2457" spans="2:6" x14ac:dyDescent="0.2">
      <c r="B2457" s="9" t="s">
        <v>1212</v>
      </c>
      <c r="C2457" s="15" t="s">
        <v>1213</v>
      </c>
      <c r="D2457" s="12" t="str">
        <f>"0926-2644"</f>
        <v>0926-2644</v>
      </c>
      <c r="E2457" s="5">
        <v>2.6480000000000001</v>
      </c>
      <c r="F2457" s="5">
        <v>0.72499999999999998</v>
      </c>
    </row>
    <row r="2458" spans="2:6" x14ac:dyDescent="0.2">
      <c r="B2458" s="9" t="s">
        <v>1214</v>
      </c>
      <c r="C2458" s="15" t="s">
        <v>1215</v>
      </c>
      <c r="D2458" s="12" t="str">
        <f>"1089-2699"</f>
        <v>1089-2699</v>
      </c>
      <c r="E2458" s="5">
        <v>0.75900000000000001</v>
      </c>
      <c r="F2458" s="5">
        <v>6.3E-2</v>
      </c>
    </row>
    <row r="2459" spans="2:6" x14ac:dyDescent="0.2">
      <c r="B2459" s="9" t="s">
        <v>1216</v>
      </c>
      <c r="C2459" s="15" t="s">
        <v>1217</v>
      </c>
      <c r="D2459" s="12" t="str">
        <f>"1059-6011"</f>
        <v>1059-6011</v>
      </c>
      <c r="E2459" s="5">
        <v>3.9380000000000002</v>
      </c>
      <c r="F2459" s="5">
        <v>0.72299999999999998</v>
      </c>
    </row>
    <row r="2460" spans="2:6" x14ac:dyDescent="0.2">
      <c r="B2460" s="9" t="s">
        <v>1218</v>
      </c>
      <c r="C2460" s="15" t="s">
        <v>1219</v>
      </c>
      <c r="D2460" s="12" t="str">
        <f>"1368-4302"</f>
        <v>1368-4302</v>
      </c>
      <c r="E2460" s="5">
        <v>3.129</v>
      </c>
      <c r="F2460" s="5">
        <v>0.64100000000000001</v>
      </c>
    </row>
    <row r="2461" spans="2:6" x14ac:dyDescent="0.2">
      <c r="B2461" s="9" t="s">
        <v>6762</v>
      </c>
      <c r="C2461" s="15" t="s">
        <v>6762</v>
      </c>
      <c r="D2461" s="12" t="str">
        <f>"0897-7194"</f>
        <v>0897-7194</v>
      </c>
      <c r="E2461" s="5">
        <v>2.5110000000000001</v>
      </c>
      <c r="F2461" s="5">
        <v>0.22800000000000001</v>
      </c>
    </row>
    <row r="2462" spans="2:6" x14ac:dyDescent="0.2">
      <c r="B2462" s="9" t="s">
        <v>6763</v>
      </c>
      <c r="C2462" s="15" t="s">
        <v>4278</v>
      </c>
      <c r="D2462" s="12" t="str">
        <f>"1096-6374"</f>
        <v>1096-6374</v>
      </c>
      <c r="E2462" s="5">
        <v>2.3719999999999999</v>
      </c>
      <c r="F2462" s="5">
        <v>0.187</v>
      </c>
    </row>
    <row r="2463" spans="2:6" x14ac:dyDescent="0.2">
      <c r="B2463" s="9" t="s">
        <v>1220</v>
      </c>
      <c r="C2463" s="15" t="s">
        <v>1221</v>
      </c>
      <c r="D2463" s="12" t="str">
        <f>"0017-4947"</f>
        <v>0017-4947</v>
      </c>
      <c r="E2463" s="5">
        <v>0.22900000000000001</v>
      </c>
      <c r="F2463" s="5">
        <v>8.0000000000000002E-3</v>
      </c>
    </row>
    <row r="2464" spans="2:6" x14ac:dyDescent="0.2">
      <c r="B2464" s="9" t="s">
        <v>6764</v>
      </c>
      <c r="C2464" s="15" t="s">
        <v>6764</v>
      </c>
      <c r="D2464" s="12" t="str">
        <f>"0017-5749"</f>
        <v>0017-5749</v>
      </c>
      <c r="E2464" s="5">
        <v>23.059000000000001</v>
      </c>
      <c r="F2464" s="5">
        <v>0.97799999999999998</v>
      </c>
    </row>
    <row r="2465" spans="2:6" x14ac:dyDescent="0.2">
      <c r="B2465" s="9" t="s">
        <v>1222</v>
      </c>
      <c r="C2465" s="15" t="s">
        <v>1223</v>
      </c>
      <c r="D2465" s="12" t="str">
        <f>"2005-1212"</f>
        <v>2005-1212</v>
      </c>
      <c r="E2465" s="5">
        <v>4.5190000000000001</v>
      </c>
      <c r="F2465" s="5">
        <v>0.62</v>
      </c>
    </row>
    <row r="2466" spans="2:6" x14ac:dyDescent="0.2">
      <c r="B2466" s="9" t="s">
        <v>9616</v>
      </c>
      <c r="C2466" s="15" t="s">
        <v>9617</v>
      </c>
      <c r="D2466" s="12" t="str">
        <f>"1949-0976"</f>
        <v>1949-0976</v>
      </c>
      <c r="E2466" s="5">
        <v>10.244999999999999</v>
      </c>
      <c r="F2466" s="5">
        <v>0.92600000000000005</v>
      </c>
    </row>
    <row r="2467" spans="2:6" x14ac:dyDescent="0.2">
      <c r="B2467" s="9" t="s">
        <v>9618</v>
      </c>
      <c r="C2467" s="15" t="s">
        <v>9619</v>
      </c>
      <c r="D2467" s="12" t="str">
        <f>"1757-4749"</f>
        <v>1757-4749</v>
      </c>
      <c r="E2467" s="5">
        <v>4.181</v>
      </c>
      <c r="F2467" s="5">
        <v>0.63</v>
      </c>
    </row>
    <row r="2468" spans="2:6" x14ac:dyDescent="0.2">
      <c r="B2468" s="9" t="s">
        <v>6765</v>
      </c>
      <c r="C2468" s="15" t="s">
        <v>4279</v>
      </c>
      <c r="D2468" s="12" t="str">
        <f>"0951-3590"</f>
        <v>0951-3590</v>
      </c>
      <c r="E2468" s="5">
        <v>2.2599999999999998</v>
      </c>
      <c r="F2468" s="5">
        <v>0.36099999999999999</v>
      </c>
    </row>
    <row r="2469" spans="2:6" x14ac:dyDescent="0.2">
      <c r="B2469" s="9" t="s">
        <v>6766</v>
      </c>
      <c r="C2469" s="15" t="s">
        <v>4280</v>
      </c>
      <c r="D2469" s="12" t="str">
        <f>"0378-7346"</f>
        <v>0378-7346</v>
      </c>
      <c r="E2469" s="5">
        <v>2.0310000000000001</v>
      </c>
      <c r="F2469" s="5">
        <v>0.26500000000000001</v>
      </c>
    </row>
    <row r="2470" spans="2:6" x14ac:dyDescent="0.2">
      <c r="B2470" s="9" t="s">
        <v>9620</v>
      </c>
      <c r="C2470" s="15" t="s">
        <v>9621</v>
      </c>
      <c r="D2470" s="12" t="str">
        <f>"2468-7197"</f>
        <v>2468-7197</v>
      </c>
      <c r="E2470" s="5">
        <v>1.06</v>
      </c>
      <c r="F2470" s="5">
        <v>0.06</v>
      </c>
    </row>
    <row r="2471" spans="2:6" x14ac:dyDescent="0.2">
      <c r="B2471" s="9" t="s">
        <v>6767</v>
      </c>
      <c r="C2471" s="15" t="s">
        <v>4281</v>
      </c>
      <c r="D2471" s="12" t="str">
        <f>"0090-8258"</f>
        <v>0090-8258</v>
      </c>
      <c r="E2471" s="5">
        <v>5.4820000000000002</v>
      </c>
      <c r="F2471" s="5">
        <v>0.91600000000000004</v>
      </c>
    </row>
    <row r="2472" spans="2:6" x14ac:dyDescent="0.2">
      <c r="B2472" s="9" t="s">
        <v>1224</v>
      </c>
      <c r="C2472" s="15" t="s">
        <v>1225</v>
      </c>
      <c r="D2472" s="12" t="str">
        <f>"2651-477X"</f>
        <v>2651-477X</v>
      </c>
      <c r="E2472" s="5">
        <v>0.92900000000000005</v>
      </c>
      <c r="F2472" s="5">
        <v>0.48199999999999998</v>
      </c>
    </row>
    <row r="2473" spans="2:6" x14ac:dyDescent="0.2">
      <c r="B2473" s="9" t="s">
        <v>9622</v>
      </c>
      <c r="C2473" s="15" t="s">
        <v>9622</v>
      </c>
      <c r="D2473" s="12" t="str">
        <f>"0390-6078"</f>
        <v>0390-6078</v>
      </c>
      <c r="E2473" s="5">
        <v>9.9410000000000007</v>
      </c>
      <c r="F2473" s="5">
        <v>0.90800000000000003</v>
      </c>
    </row>
    <row r="2474" spans="2:6" x14ac:dyDescent="0.2">
      <c r="B2474" s="9" t="s">
        <v>6768</v>
      </c>
      <c r="C2474" s="15" t="s">
        <v>6768</v>
      </c>
      <c r="D2474" s="12" t="str">
        <f>"1351-8216"</f>
        <v>1351-8216</v>
      </c>
      <c r="E2474" s="5">
        <v>4.2869999999999999</v>
      </c>
      <c r="F2474" s="5">
        <v>0.65800000000000003</v>
      </c>
    </row>
    <row r="2475" spans="2:6" x14ac:dyDescent="0.2">
      <c r="B2475" s="9" t="s">
        <v>9623</v>
      </c>
      <c r="C2475" s="15" t="s">
        <v>9624</v>
      </c>
      <c r="D2475" s="12" t="str">
        <f>"0720-9355"</f>
        <v>0720-9355</v>
      </c>
      <c r="E2475" s="5">
        <v>1.778</v>
      </c>
      <c r="F2475" s="5">
        <v>0.13200000000000001</v>
      </c>
    </row>
    <row r="2476" spans="2:6" x14ac:dyDescent="0.2">
      <c r="B2476" s="9" t="s">
        <v>1226</v>
      </c>
      <c r="C2476" s="15" t="s">
        <v>1227</v>
      </c>
      <c r="D2476" s="12" t="str">
        <f>"0722-1819"</f>
        <v>0722-1819</v>
      </c>
      <c r="E2476" s="5">
        <v>1.018</v>
      </c>
      <c r="F2476" s="5">
        <v>0.105</v>
      </c>
    </row>
    <row r="2477" spans="2:6" x14ac:dyDescent="0.2">
      <c r="B2477" s="9" t="s">
        <v>6769</v>
      </c>
      <c r="C2477" s="15" t="s">
        <v>4282</v>
      </c>
      <c r="D2477" s="12" t="str">
        <f>"0749-0712"</f>
        <v>0749-0712</v>
      </c>
      <c r="E2477" s="5">
        <v>1.907</v>
      </c>
      <c r="F2477" s="5">
        <v>0.34599999999999997</v>
      </c>
    </row>
    <row r="2478" spans="2:6" x14ac:dyDescent="0.2">
      <c r="B2478" s="9" t="s">
        <v>9625</v>
      </c>
      <c r="C2478" s="15" t="s">
        <v>9626</v>
      </c>
      <c r="D2478" s="12" t="str">
        <f>"2468-1229"</f>
        <v>2468-1229</v>
      </c>
      <c r="E2478" s="5">
        <v>0.96899999999999997</v>
      </c>
      <c r="F2478" s="5">
        <v>9.9000000000000005E-2</v>
      </c>
    </row>
    <row r="2479" spans="2:6" x14ac:dyDescent="0.2">
      <c r="B2479" s="9" t="s">
        <v>9627</v>
      </c>
      <c r="C2479" s="15" t="s">
        <v>9628</v>
      </c>
      <c r="D2479" s="12" t="str">
        <f>"1477-7517"</f>
        <v>1477-7517</v>
      </c>
      <c r="E2479" s="5">
        <v>4.3620000000000001</v>
      </c>
      <c r="F2479" s="5">
        <v>0.878</v>
      </c>
    </row>
    <row r="2480" spans="2:6" x14ac:dyDescent="0.2">
      <c r="B2480" s="9" t="s">
        <v>1228</v>
      </c>
      <c r="C2480" s="15" t="s">
        <v>1229</v>
      </c>
      <c r="D2480" s="12" t="str">
        <f>"1067-3229"</f>
        <v>1067-3229</v>
      </c>
      <c r="E2480" s="5">
        <v>3.7320000000000002</v>
      </c>
      <c r="F2480" s="5">
        <v>0.65700000000000003</v>
      </c>
    </row>
    <row r="2481" spans="2:6" x14ac:dyDescent="0.2">
      <c r="B2481" s="9" t="s">
        <v>6770</v>
      </c>
      <c r="C2481" s="15" t="s">
        <v>4283</v>
      </c>
      <c r="D2481" s="12" t="str">
        <f>"0093-0334"</f>
        <v>0093-0334</v>
      </c>
      <c r="E2481" s="5">
        <v>2.6829999999999998</v>
      </c>
      <c r="F2481" s="5">
        <v>0.81299999999999994</v>
      </c>
    </row>
    <row r="2482" spans="2:6" x14ac:dyDescent="0.2">
      <c r="B2482" s="9" t="s">
        <v>6771</v>
      </c>
      <c r="C2482" s="15" t="s">
        <v>6771</v>
      </c>
      <c r="D2482" s="12" t="str">
        <f>"0017-8470"</f>
        <v>0017-8470</v>
      </c>
      <c r="E2482" s="5">
        <v>0.751</v>
      </c>
      <c r="F2482" s="5">
        <v>5.8999999999999997E-2</v>
      </c>
    </row>
    <row r="2483" spans="2:6" x14ac:dyDescent="0.2">
      <c r="B2483" s="9" t="s">
        <v>6773</v>
      </c>
      <c r="C2483" s="15" t="s">
        <v>6773</v>
      </c>
      <c r="D2483" s="12" t="str">
        <f>"0017-8748"</f>
        <v>0017-8748</v>
      </c>
      <c r="E2483" s="5">
        <v>5.8869999999999996</v>
      </c>
      <c r="F2483" s="5">
        <v>0.85599999999999998</v>
      </c>
    </row>
    <row r="2484" spans="2:6" x14ac:dyDescent="0.2">
      <c r="B2484" s="9" t="s">
        <v>9629</v>
      </c>
      <c r="C2484" s="15" t="s">
        <v>9630</v>
      </c>
      <c r="D2484" s="12" t="str">
        <f>"1746-160X"</f>
        <v>1746-160X</v>
      </c>
      <c r="E2484" s="5">
        <v>2.1509999999999998</v>
      </c>
      <c r="F2484" s="5">
        <v>0.38500000000000001</v>
      </c>
    </row>
    <row r="2485" spans="2:6" ht="25.5" x14ac:dyDescent="0.2">
      <c r="B2485" s="9" t="s">
        <v>6772</v>
      </c>
      <c r="C2485" s="15" t="s">
        <v>4284</v>
      </c>
      <c r="D2485" s="12" t="str">
        <f>"1043-3074"</f>
        <v>1043-3074</v>
      </c>
      <c r="E2485" s="5">
        <v>3.1469999999999998</v>
      </c>
      <c r="F2485" s="5">
        <v>0.75</v>
      </c>
    </row>
    <row r="2486" spans="2:6" x14ac:dyDescent="0.2">
      <c r="B2486" s="9" t="s">
        <v>6774</v>
      </c>
      <c r="C2486" s="15" t="s">
        <v>4285</v>
      </c>
      <c r="D2486" s="12" t="str">
        <f>"0278-2715"</f>
        <v>0278-2715</v>
      </c>
      <c r="E2486" s="5">
        <v>6.3010000000000002</v>
      </c>
      <c r="F2486" s="5">
        <v>0.97699999999999998</v>
      </c>
    </row>
    <row r="2487" spans="2:6" x14ac:dyDescent="0.2">
      <c r="B2487" s="9" t="s">
        <v>1231</v>
      </c>
      <c r="C2487" s="15" t="s">
        <v>1232</v>
      </c>
      <c r="D2487" s="12" t="str">
        <f>"1065-3058"</f>
        <v>1065-3058</v>
      </c>
      <c r="E2487" s="5">
        <v>2.524</v>
      </c>
      <c r="F2487" s="5">
        <v>0.76800000000000002</v>
      </c>
    </row>
    <row r="2488" spans="2:6" x14ac:dyDescent="0.2">
      <c r="B2488" s="9" t="s">
        <v>9631</v>
      </c>
      <c r="C2488" s="15" t="s">
        <v>9632</v>
      </c>
      <c r="D2488" s="12" t="str">
        <f>"2227-9032"</f>
        <v>2227-9032</v>
      </c>
      <c r="E2488" s="5">
        <v>2.645</v>
      </c>
      <c r="F2488" s="5">
        <v>0.55700000000000005</v>
      </c>
    </row>
    <row r="2489" spans="2:6" x14ac:dyDescent="0.2">
      <c r="B2489" s="9" t="s">
        <v>9633</v>
      </c>
      <c r="C2489" s="15" t="s">
        <v>9634</v>
      </c>
      <c r="D2489" s="12" t="str">
        <f>"2213-0764"</f>
        <v>2213-0764</v>
      </c>
      <c r="E2489" s="5">
        <v>2.194</v>
      </c>
      <c r="F2489" s="5">
        <v>0.318</v>
      </c>
    </row>
    <row r="2490" spans="2:6" x14ac:dyDescent="0.2">
      <c r="B2490" s="9" t="s">
        <v>1233</v>
      </c>
      <c r="C2490" s="15" t="s">
        <v>1234</v>
      </c>
      <c r="D2490" s="12" t="str">
        <f>"0361-6274"</f>
        <v>0361-6274</v>
      </c>
      <c r="E2490" s="5">
        <v>3.3279999999999998</v>
      </c>
      <c r="F2490" s="5">
        <v>0.78400000000000003</v>
      </c>
    </row>
    <row r="2491" spans="2:6" x14ac:dyDescent="0.2">
      <c r="B2491" s="9" t="s">
        <v>9635</v>
      </c>
      <c r="C2491" s="15" t="s">
        <v>9636</v>
      </c>
      <c r="D2491" s="12" t="str">
        <f>"1386-9620"</f>
        <v>1386-9620</v>
      </c>
      <c r="E2491" s="5">
        <v>2.8929999999999998</v>
      </c>
      <c r="F2491" s="5">
        <v>0.61399999999999999</v>
      </c>
    </row>
    <row r="2492" spans="2:6" x14ac:dyDescent="0.2">
      <c r="B2492" s="9" t="s">
        <v>9637</v>
      </c>
      <c r="C2492" s="15" t="s">
        <v>9638</v>
      </c>
      <c r="D2492" s="12" t="str">
        <f>"0739-9332"</f>
        <v>0739-9332</v>
      </c>
      <c r="E2492" s="5">
        <v>1.373</v>
      </c>
      <c r="F2492" s="5">
        <v>0.38600000000000001</v>
      </c>
    </row>
    <row r="2493" spans="2:6" x14ac:dyDescent="0.2">
      <c r="B2493" s="9" t="s">
        <v>1235</v>
      </c>
      <c r="C2493" s="15" t="s">
        <v>1236</v>
      </c>
      <c r="D2493" s="12" t="str">
        <f>"1041-0236"</f>
        <v>1041-0236</v>
      </c>
      <c r="E2493" s="5">
        <v>3.198</v>
      </c>
      <c r="F2493" s="5">
        <v>0.72299999999999998</v>
      </c>
    </row>
    <row r="2494" spans="2:6" x14ac:dyDescent="0.2">
      <c r="B2494" s="9" t="s">
        <v>6775</v>
      </c>
      <c r="C2494" s="15" t="s">
        <v>4286</v>
      </c>
      <c r="D2494" s="12" t="str">
        <f>"1057-9230"</f>
        <v>1057-9230</v>
      </c>
      <c r="E2494" s="5">
        <v>3.0459999999999998</v>
      </c>
      <c r="F2494" s="5">
        <v>0.749</v>
      </c>
    </row>
    <row r="2495" spans="2:6" x14ac:dyDescent="0.2">
      <c r="B2495" s="9" t="s">
        <v>9639</v>
      </c>
      <c r="C2495" s="15" t="s">
        <v>9640</v>
      </c>
      <c r="D2495" s="12" t="str">
        <f>"1744-1331"</f>
        <v>1744-1331</v>
      </c>
      <c r="E2495" s="5">
        <v>2.4460000000000002</v>
      </c>
      <c r="F2495" s="5">
        <v>0.443</v>
      </c>
    </row>
    <row r="2496" spans="2:6" x14ac:dyDescent="0.2">
      <c r="B2496" s="9" t="s">
        <v>9641</v>
      </c>
      <c r="C2496" s="15" t="s">
        <v>9642</v>
      </c>
      <c r="D2496" s="12" t="str">
        <f>"2191-1991"</f>
        <v>2191-1991</v>
      </c>
      <c r="E2496" s="5">
        <v>2.306</v>
      </c>
      <c r="F2496" s="5">
        <v>0.61899999999999999</v>
      </c>
    </row>
    <row r="2497" spans="2:6" x14ac:dyDescent="0.2">
      <c r="B2497" s="9" t="s">
        <v>1237</v>
      </c>
      <c r="C2497" s="15" t="s">
        <v>1238</v>
      </c>
      <c r="D2497" s="12" t="str">
        <f>"1090-1981"</f>
        <v>1090-1981</v>
      </c>
      <c r="E2497" s="5">
        <v>2.6230000000000002</v>
      </c>
      <c r="F2497" s="5">
        <v>0.53900000000000003</v>
      </c>
    </row>
    <row r="2498" spans="2:6" x14ac:dyDescent="0.2">
      <c r="B2498" s="9" t="s">
        <v>9643</v>
      </c>
      <c r="C2498" s="15" t="s">
        <v>9644</v>
      </c>
      <c r="D2498" s="12" t="str">
        <f>"0017-8969"</f>
        <v>0017-8969</v>
      </c>
      <c r="E2498" s="5">
        <v>1.2989999999999999</v>
      </c>
      <c r="F2498" s="5">
        <v>0.182</v>
      </c>
    </row>
    <row r="2499" spans="2:6" x14ac:dyDescent="0.2">
      <c r="B2499" s="9" t="s">
        <v>1239</v>
      </c>
      <c r="C2499" s="15" t="s">
        <v>1240</v>
      </c>
      <c r="D2499" s="12" t="str">
        <f>"0268-1153"</f>
        <v>0268-1153</v>
      </c>
      <c r="E2499" s="5">
        <v>1.538</v>
      </c>
      <c r="F2499" s="5">
        <v>0.23100000000000001</v>
      </c>
    </row>
    <row r="2500" spans="2:6" x14ac:dyDescent="0.2">
      <c r="B2500" s="9" t="s">
        <v>6776</v>
      </c>
      <c r="C2500" s="15" t="s">
        <v>4287</v>
      </c>
      <c r="D2500" s="12" t="str">
        <f>"1369-6513"</f>
        <v>1369-6513</v>
      </c>
      <c r="E2500" s="5">
        <v>3.3769999999999998</v>
      </c>
      <c r="F2500" s="5">
        <v>0.80700000000000005</v>
      </c>
    </row>
    <row r="2501" spans="2:6" x14ac:dyDescent="0.2">
      <c r="B2501" s="9" t="s">
        <v>9645</v>
      </c>
      <c r="C2501" s="15" t="s">
        <v>9646</v>
      </c>
      <c r="D2501" s="12" t="str">
        <f>"1079-0969"</f>
        <v>1079-0969</v>
      </c>
      <c r="E2501" s="5">
        <v>1.552</v>
      </c>
      <c r="F2501" s="5">
        <v>0.22900000000000001</v>
      </c>
    </row>
    <row r="2502" spans="2:6" x14ac:dyDescent="0.2">
      <c r="B2502" s="9" t="s">
        <v>1241</v>
      </c>
      <c r="C2502" s="15" t="s">
        <v>1242</v>
      </c>
      <c r="D2502" s="12" t="str">
        <f>"1833-3583"</f>
        <v>1833-3583</v>
      </c>
      <c r="E2502" s="5">
        <v>3.1850000000000001</v>
      </c>
      <c r="F2502" s="5">
        <v>0.68200000000000005</v>
      </c>
    </row>
    <row r="2503" spans="2:6" x14ac:dyDescent="0.2">
      <c r="B2503" s="9" t="s">
        <v>1243</v>
      </c>
      <c r="C2503" s="15" t="s">
        <v>1244</v>
      </c>
      <c r="D2503" s="12" t="str">
        <f>"1471-1834"</f>
        <v>1471-1834</v>
      </c>
      <c r="E2503" s="5">
        <v>2.1539999999999999</v>
      </c>
      <c r="F2503" s="5">
        <v>0.48199999999999998</v>
      </c>
    </row>
    <row r="2504" spans="2:6" x14ac:dyDescent="0.2">
      <c r="B2504" s="9" t="s">
        <v>9647</v>
      </c>
      <c r="C2504" s="15" t="s">
        <v>9648</v>
      </c>
      <c r="D2504" s="12" t="str">
        <f>"1460-4582"</f>
        <v>1460-4582</v>
      </c>
      <c r="E2504" s="5">
        <v>2.681</v>
      </c>
      <c r="F2504" s="5">
        <v>0.505</v>
      </c>
    </row>
    <row r="2505" spans="2:6" x14ac:dyDescent="0.2">
      <c r="B2505" s="9" t="s">
        <v>9649</v>
      </c>
      <c r="C2505" s="15" t="s">
        <v>1230</v>
      </c>
      <c r="D2505" s="12" t="str">
        <f>"1363-4593"</f>
        <v>1363-4593</v>
      </c>
      <c r="E2505" s="5">
        <v>2.2789999999999999</v>
      </c>
      <c r="F2505" s="5">
        <v>0.5</v>
      </c>
    </row>
    <row r="2506" spans="2:6" x14ac:dyDescent="0.2">
      <c r="B2506" s="9" t="s">
        <v>6777</v>
      </c>
      <c r="C2506" s="15" t="s">
        <v>4288</v>
      </c>
      <c r="D2506" s="12" t="str">
        <f>"1538-5159"</f>
        <v>1538-5159</v>
      </c>
      <c r="E2506" s="5">
        <v>1.3160000000000001</v>
      </c>
      <c r="F2506" s="5">
        <v>0.32400000000000001</v>
      </c>
    </row>
    <row r="2507" spans="2:6" x14ac:dyDescent="0.2">
      <c r="B2507" s="9" t="s">
        <v>1245</v>
      </c>
      <c r="C2507" s="15" t="s">
        <v>1246</v>
      </c>
      <c r="D2507" s="12" t="str">
        <f>"1353-8292"</f>
        <v>1353-8292</v>
      </c>
      <c r="E2507" s="5">
        <v>4.0780000000000003</v>
      </c>
      <c r="F2507" s="5">
        <v>0.80500000000000005</v>
      </c>
    </row>
    <row r="2508" spans="2:6" x14ac:dyDescent="0.2">
      <c r="B2508" s="9" t="s">
        <v>6778</v>
      </c>
      <c r="C2508" s="15" t="s">
        <v>6778</v>
      </c>
      <c r="D2508" s="12" t="str">
        <f>"0168-8510"</f>
        <v>0168-8510</v>
      </c>
      <c r="E2508" s="5">
        <v>2.98</v>
      </c>
      <c r="F2508" s="5">
        <v>0.625</v>
      </c>
    </row>
    <row r="2509" spans="2:6" x14ac:dyDescent="0.2">
      <c r="B2509" s="9" t="s">
        <v>6779</v>
      </c>
      <c r="C2509" s="15" t="s">
        <v>4289</v>
      </c>
      <c r="D2509" s="12" t="str">
        <f>"1460-2237"</f>
        <v>1460-2237</v>
      </c>
      <c r="E2509" s="5">
        <v>3.3439999999999999</v>
      </c>
      <c r="F2509" s="5">
        <v>0.79500000000000004</v>
      </c>
    </row>
    <row r="2510" spans="2:6" x14ac:dyDescent="0.2">
      <c r="B2510" s="9" t="s">
        <v>9650</v>
      </c>
      <c r="C2510" s="15" t="s">
        <v>9651</v>
      </c>
      <c r="D2510" s="12" t="str">
        <f>"2211-8837"</f>
        <v>2211-8837</v>
      </c>
      <c r="E2510" s="5">
        <v>1.931</v>
      </c>
      <c r="F2510" s="5">
        <v>0.26100000000000001</v>
      </c>
    </row>
    <row r="2511" spans="2:6" ht="25.5" x14ac:dyDescent="0.2">
      <c r="B2511" s="9" t="s">
        <v>9652</v>
      </c>
      <c r="C2511" s="15" t="s">
        <v>9653</v>
      </c>
      <c r="D2511" s="12" t="str">
        <f>"2368-738X"</f>
        <v>2368-738X</v>
      </c>
      <c r="E2511" s="5">
        <v>3.24</v>
      </c>
      <c r="F2511" s="5">
        <v>0.69599999999999995</v>
      </c>
    </row>
    <row r="2512" spans="2:6" x14ac:dyDescent="0.2">
      <c r="B2512" s="9" t="s">
        <v>1247</v>
      </c>
      <c r="C2512" s="15" t="s">
        <v>1248</v>
      </c>
      <c r="D2512" s="12" t="str">
        <f>"0957-4824"</f>
        <v>0957-4824</v>
      </c>
      <c r="E2512" s="5">
        <v>2.4830000000000001</v>
      </c>
      <c r="F2512" s="5">
        <v>0.505</v>
      </c>
    </row>
    <row r="2513" spans="2:6" x14ac:dyDescent="0.2">
      <c r="B2513" s="9" t="s">
        <v>9654</v>
      </c>
      <c r="C2513" s="15" t="s">
        <v>9655</v>
      </c>
      <c r="D2513" s="12" t="str">
        <f>"1036-1073"</f>
        <v>1036-1073</v>
      </c>
      <c r="E2513" s="5">
        <v>1.954</v>
      </c>
      <c r="F2513" s="5">
        <v>0.33400000000000002</v>
      </c>
    </row>
    <row r="2514" spans="2:6" x14ac:dyDescent="0.2">
      <c r="B2514" s="9" t="s">
        <v>6780</v>
      </c>
      <c r="C2514" s="15" t="s">
        <v>4290</v>
      </c>
      <c r="D2514" s="12" t="str">
        <f>"0278-6133"</f>
        <v>0278-6133</v>
      </c>
      <c r="E2514" s="5">
        <v>4.2670000000000003</v>
      </c>
      <c r="F2514" s="5">
        <v>0.85699999999999998</v>
      </c>
    </row>
    <row r="2515" spans="2:6" x14ac:dyDescent="0.2">
      <c r="B2515" s="9" t="s">
        <v>9656</v>
      </c>
      <c r="C2515" s="15" t="s">
        <v>9657</v>
      </c>
      <c r="D2515" s="12" t="str">
        <f>"1743-7199"</f>
        <v>1743-7199</v>
      </c>
      <c r="E2515" s="5">
        <v>7.1820000000000004</v>
      </c>
      <c r="F2515" s="5">
        <v>0.96899999999999997</v>
      </c>
    </row>
    <row r="2516" spans="2:6" x14ac:dyDescent="0.2">
      <c r="B2516" s="9" t="s">
        <v>1249</v>
      </c>
      <c r="C2516" s="15" t="s">
        <v>1250</v>
      </c>
      <c r="D2516" s="12" t="str">
        <f>"1477-7525"</f>
        <v>1477-7525</v>
      </c>
      <c r="E2516" s="5">
        <v>3.1859999999999999</v>
      </c>
      <c r="F2516" s="5">
        <v>0.69299999999999995</v>
      </c>
    </row>
    <row r="2517" spans="2:6" x14ac:dyDescent="0.2">
      <c r="B2517" s="9" t="s">
        <v>9658</v>
      </c>
      <c r="C2517" s="15" t="s">
        <v>9659</v>
      </c>
      <c r="D2517" s="12" t="str">
        <f>"0840-6529"</f>
        <v>0840-6529</v>
      </c>
      <c r="E2517" s="5">
        <v>4.7960000000000003</v>
      </c>
      <c r="F2517" s="5">
        <v>0.86299999999999999</v>
      </c>
    </row>
    <row r="2518" spans="2:6" x14ac:dyDescent="0.2">
      <c r="B2518" s="9" t="s">
        <v>9660</v>
      </c>
      <c r="C2518" s="15" t="s">
        <v>9661</v>
      </c>
      <c r="D2518" s="12" t="str">
        <f>"1478-4505"</f>
        <v>1478-4505</v>
      </c>
      <c r="E2518" s="5">
        <v>3.3180000000000001</v>
      </c>
      <c r="F2518" s="5">
        <v>0.77300000000000002</v>
      </c>
    </row>
    <row r="2519" spans="2:6" x14ac:dyDescent="0.2">
      <c r="B2519" s="9" t="s">
        <v>1251</v>
      </c>
      <c r="C2519" s="15" t="s">
        <v>1252</v>
      </c>
      <c r="D2519" s="12" t="str">
        <f>"1369-8575"</f>
        <v>1369-8575</v>
      </c>
      <c r="E2519" s="5">
        <v>1.756</v>
      </c>
      <c r="F2519" s="5">
        <v>0.27300000000000002</v>
      </c>
    </row>
    <row r="2520" spans="2:6" x14ac:dyDescent="0.2">
      <c r="B2520" s="9" t="s">
        <v>9662</v>
      </c>
      <c r="C2520" s="15" t="s">
        <v>9663</v>
      </c>
      <c r="D2520" s="12" t="str">
        <f>"2326-5094"</f>
        <v>2326-5094</v>
      </c>
      <c r="E2520" s="5">
        <v>1.81</v>
      </c>
      <c r="F2520" s="5">
        <v>0.28000000000000003</v>
      </c>
    </row>
    <row r="2521" spans="2:6" x14ac:dyDescent="0.2">
      <c r="B2521" s="9" t="s">
        <v>6781</v>
      </c>
      <c r="C2521" s="15" t="s">
        <v>4291</v>
      </c>
      <c r="D2521" s="12" t="str">
        <f>"1475-6773"</f>
        <v>1475-6773</v>
      </c>
      <c r="E2521" s="5">
        <v>3.4020000000000001</v>
      </c>
      <c r="F2521" s="5">
        <v>0.83</v>
      </c>
    </row>
    <row r="2522" spans="2:6" x14ac:dyDescent="0.2">
      <c r="B2522" s="9" t="s">
        <v>1253</v>
      </c>
      <c r="C2522" s="15" t="s">
        <v>1254</v>
      </c>
      <c r="D2522" s="12" t="str">
        <f>"0966-0410"</f>
        <v>0966-0410</v>
      </c>
      <c r="E2522" s="5">
        <v>2.8210000000000002</v>
      </c>
      <c r="F2522" s="5">
        <v>0.86399999999999999</v>
      </c>
    </row>
    <row r="2523" spans="2:6" x14ac:dyDescent="0.2">
      <c r="B2523" s="9" t="s">
        <v>9664</v>
      </c>
      <c r="C2523" s="15" t="s">
        <v>9665</v>
      </c>
      <c r="D2523" s="12" t="str">
        <f>"1446-1242"</f>
        <v>1446-1242</v>
      </c>
      <c r="E2523" s="5">
        <v>1.1220000000000001</v>
      </c>
      <c r="F2523" s="5">
        <v>0.26800000000000002</v>
      </c>
    </row>
    <row r="2524" spans="2:6" x14ac:dyDescent="0.2">
      <c r="B2524" s="9" t="s">
        <v>9666</v>
      </c>
      <c r="C2524" s="15" t="s">
        <v>9667</v>
      </c>
      <c r="D2524" s="12" t="str">
        <f>"2328-8604"</f>
        <v>2328-8604</v>
      </c>
      <c r="E2524" s="5">
        <v>3.391</v>
      </c>
      <c r="F2524" s="5">
        <v>0.81799999999999995</v>
      </c>
    </row>
    <row r="2525" spans="2:6" x14ac:dyDescent="0.2">
      <c r="B2525" s="9" t="s">
        <v>6782</v>
      </c>
      <c r="C2525" s="15" t="s">
        <v>4292</v>
      </c>
      <c r="D2525" s="12" t="str">
        <f>"1366-5278"</f>
        <v>1366-5278</v>
      </c>
      <c r="E2525" s="5">
        <v>4.0140000000000002</v>
      </c>
      <c r="F2525" s="5">
        <v>0.75700000000000001</v>
      </c>
    </row>
    <row r="2526" spans="2:6" x14ac:dyDescent="0.2">
      <c r="B2526" s="9" t="s">
        <v>6783</v>
      </c>
      <c r="C2526" s="15" t="s">
        <v>4293</v>
      </c>
      <c r="D2526" s="12" t="str">
        <f>"0378-5955"</f>
        <v>0378-5955</v>
      </c>
      <c r="E2526" s="5">
        <v>3.2080000000000002</v>
      </c>
      <c r="F2526" s="5">
        <v>0.92600000000000005</v>
      </c>
    </row>
    <row r="2527" spans="2:6" x14ac:dyDescent="0.2">
      <c r="B2527" s="9" t="s">
        <v>6784</v>
      </c>
      <c r="C2527" s="15" t="s">
        <v>6784</v>
      </c>
      <c r="D2527" s="12" t="str">
        <f>"1355-6037"</f>
        <v>1355-6037</v>
      </c>
      <c r="E2527" s="5">
        <v>5.9939999999999998</v>
      </c>
      <c r="F2527" s="5">
        <v>0.78700000000000003</v>
      </c>
    </row>
    <row r="2528" spans="2:6" x14ac:dyDescent="0.2">
      <c r="B2528" s="9" t="s">
        <v>9668</v>
      </c>
      <c r="C2528" s="15" t="s">
        <v>9669</v>
      </c>
      <c r="D2528" s="12" t="str">
        <f>"1551-7136"</f>
        <v>1551-7136</v>
      </c>
      <c r="E2528" s="5">
        <v>3.1789999999999998</v>
      </c>
      <c r="F2528" s="5">
        <v>0.52500000000000002</v>
      </c>
    </row>
    <row r="2529" spans="2:6" x14ac:dyDescent="0.2">
      <c r="B2529" s="9" t="s">
        <v>6785</v>
      </c>
      <c r="C2529" s="15" t="s">
        <v>4294</v>
      </c>
      <c r="D2529" s="12" t="str">
        <f>"1382-4147"</f>
        <v>1382-4147</v>
      </c>
      <c r="E2529" s="5">
        <v>4.2140000000000004</v>
      </c>
      <c r="F2529" s="5">
        <v>0.624</v>
      </c>
    </row>
    <row r="2530" spans="2:6" x14ac:dyDescent="0.2">
      <c r="B2530" s="9" t="s">
        <v>6786</v>
      </c>
      <c r="C2530" s="15" t="s">
        <v>4295</v>
      </c>
      <c r="D2530" s="12" t="str">
        <f>"0147-9563"</f>
        <v>0147-9563</v>
      </c>
      <c r="E2530" s="5">
        <v>2.21</v>
      </c>
      <c r="F2530" s="5">
        <v>0.64300000000000002</v>
      </c>
    </row>
    <row r="2531" spans="2:6" x14ac:dyDescent="0.2">
      <c r="B2531" s="9" t="s">
        <v>9670</v>
      </c>
      <c r="C2531" s="15" t="s">
        <v>9671</v>
      </c>
      <c r="D2531" s="12" t="str">
        <f>"1444-2892"</f>
        <v>1444-2892</v>
      </c>
      <c r="E2531" s="5">
        <v>2.9750000000000001</v>
      </c>
      <c r="F2531" s="5">
        <v>0.47499999999999998</v>
      </c>
    </row>
    <row r="2532" spans="2:6" x14ac:dyDescent="0.2">
      <c r="B2532" s="9" t="s">
        <v>6787</v>
      </c>
      <c r="C2532" s="15" t="s">
        <v>6787</v>
      </c>
      <c r="D2532" s="12" t="str">
        <f>"1547-5271"</f>
        <v>1547-5271</v>
      </c>
      <c r="E2532" s="5">
        <v>6.343</v>
      </c>
      <c r="F2532" s="5">
        <v>0.81599999999999995</v>
      </c>
    </row>
    <row r="2533" spans="2:6" x14ac:dyDescent="0.2">
      <c r="B2533" s="9" t="s">
        <v>6788</v>
      </c>
      <c r="C2533" s="15" t="s">
        <v>4296</v>
      </c>
      <c r="D2533" s="12" t="str">
        <f>"1098-3511"</f>
        <v>1098-3511</v>
      </c>
      <c r="E2533" s="5">
        <v>0.67600000000000005</v>
      </c>
      <c r="F2533" s="5">
        <v>4.8000000000000001E-2</v>
      </c>
    </row>
    <row r="2534" spans="2:6" x14ac:dyDescent="0.2">
      <c r="B2534" s="9" t="s">
        <v>6789</v>
      </c>
      <c r="C2534" s="15" t="s">
        <v>4297</v>
      </c>
      <c r="D2534" s="12" t="str">
        <f>"1615-2573"</f>
        <v>1615-2573</v>
      </c>
      <c r="E2534" s="5">
        <v>2.0369999999999999</v>
      </c>
      <c r="F2534" s="5">
        <v>0.26200000000000001</v>
      </c>
    </row>
    <row r="2535" spans="2:6" x14ac:dyDescent="0.2">
      <c r="B2535" s="9" t="s">
        <v>6790</v>
      </c>
      <c r="C2535" s="15" t="s">
        <v>4298</v>
      </c>
      <c r="D2535" s="12" t="str">
        <f>"0145-7632"</f>
        <v>0145-7632</v>
      </c>
      <c r="E2535" s="5">
        <v>2.1720000000000002</v>
      </c>
      <c r="F2535" s="5">
        <v>0.51100000000000001</v>
      </c>
    </row>
    <row r="2536" spans="2:6" x14ac:dyDescent="0.2">
      <c r="B2536" s="9" t="s">
        <v>6791</v>
      </c>
      <c r="C2536" s="15" t="s">
        <v>6791</v>
      </c>
      <c r="D2536" s="12" t="str">
        <f>"1523-5378"</f>
        <v>1523-5378</v>
      </c>
      <c r="E2536" s="5">
        <v>5.7530000000000001</v>
      </c>
      <c r="F2536" s="5">
        <v>0.80700000000000005</v>
      </c>
    </row>
    <row r="2537" spans="2:6" x14ac:dyDescent="0.2">
      <c r="B2537" s="9" t="s">
        <v>1255</v>
      </c>
      <c r="C2537" s="15" t="s">
        <v>1256</v>
      </c>
      <c r="D2537" s="12" t="str">
        <f>"1790-5427"</f>
        <v>1790-5427</v>
      </c>
      <c r="E2537" s="5">
        <v>1.1020000000000001</v>
      </c>
      <c r="F2537" s="5">
        <v>8.3000000000000004E-2</v>
      </c>
    </row>
    <row r="2538" spans="2:6" x14ac:dyDescent="0.2">
      <c r="B2538" s="9" t="s">
        <v>6792</v>
      </c>
      <c r="C2538" s="15" t="s">
        <v>6792</v>
      </c>
      <c r="D2538" s="12" t="str">
        <f>"0440-6605"</f>
        <v>0440-6605</v>
      </c>
      <c r="E2538" s="5">
        <v>1.1839999999999999</v>
      </c>
      <c r="F2538" s="5">
        <v>0.374</v>
      </c>
    </row>
    <row r="2539" spans="2:6" x14ac:dyDescent="0.2">
      <c r="B2539" s="9" t="s">
        <v>6793</v>
      </c>
      <c r="C2539" s="15" t="s">
        <v>4299</v>
      </c>
      <c r="D2539" s="12" t="str">
        <f>"0018-019X"</f>
        <v>0018-019X</v>
      </c>
      <c r="E2539" s="5">
        <v>2.1640000000000001</v>
      </c>
      <c r="F2539" s="5">
        <v>0.36</v>
      </c>
    </row>
    <row r="2540" spans="2:6" x14ac:dyDescent="0.2">
      <c r="B2540" s="9" t="s">
        <v>9672</v>
      </c>
      <c r="C2540" s="15" t="s">
        <v>9673</v>
      </c>
      <c r="D2540" s="12" t="str">
        <f>"1520-4391"</f>
        <v>1520-4391</v>
      </c>
      <c r="E2540" s="5">
        <v>3.0609999999999999</v>
      </c>
      <c r="F2540" s="5">
        <v>0.74399999999999999</v>
      </c>
    </row>
    <row r="2541" spans="2:6" x14ac:dyDescent="0.2">
      <c r="B2541" s="9" t="s">
        <v>1257</v>
      </c>
      <c r="C2541" s="15" t="s">
        <v>1258</v>
      </c>
      <c r="D2541" s="12" t="str">
        <f>"1024-5332"</f>
        <v>1024-5332</v>
      </c>
      <c r="E2541" s="5">
        <v>2.2690000000000001</v>
      </c>
      <c r="F2541" s="5">
        <v>0.224</v>
      </c>
    </row>
    <row r="2542" spans="2:6" x14ac:dyDescent="0.2">
      <c r="B2542" s="9" t="s">
        <v>6794</v>
      </c>
      <c r="C2542" s="15" t="s">
        <v>4300</v>
      </c>
      <c r="D2542" s="12" t="str">
        <f>"1099-1069"</f>
        <v>1099-1069</v>
      </c>
      <c r="E2542" s="5">
        <v>5.2709999999999999</v>
      </c>
      <c r="F2542" s="5">
        <v>0.72399999999999998</v>
      </c>
    </row>
    <row r="2543" spans="2:6" x14ac:dyDescent="0.2">
      <c r="B2543" s="9" t="s">
        <v>6795</v>
      </c>
      <c r="C2543" s="15" t="s">
        <v>4301</v>
      </c>
      <c r="D2543" s="12" t="str">
        <f>"0889-8588"</f>
        <v>0889-8588</v>
      </c>
      <c r="E2543" s="5">
        <v>3.722</v>
      </c>
      <c r="F2543" s="5">
        <v>0.56599999999999995</v>
      </c>
    </row>
    <row r="2544" spans="2:6" x14ac:dyDescent="0.2">
      <c r="B2544" s="9" t="s">
        <v>9674</v>
      </c>
      <c r="C2544" s="15" t="s">
        <v>9675</v>
      </c>
      <c r="D2544" s="12" t="str">
        <f>"1492-7535"</f>
        <v>1492-7535</v>
      </c>
      <c r="E2544" s="5">
        <v>1.8120000000000001</v>
      </c>
      <c r="F2544" s="5">
        <v>0.22500000000000001</v>
      </c>
    </row>
    <row r="2545" spans="2:6" x14ac:dyDescent="0.2">
      <c r="B2545" s="9" t="s">
        <v>6796</v>
      </c>
      <c r="C2545" s="15" t="s">
        <v>6796</v>
      </c>
      <c r="D2545" s="12" t="str">
        <f>"0363-0269"</f>
        <v>0363-0269</v>
      </c>
      <c r="E2545" s="5">
        <v>0.84899999999999998</v>
      </c>
      <c r="F2545" s="5">
        <v>3.9E-2</v>
      </c>
    </row>
    <row r="2546" spans="2:6" x14ac:dyDescent="0.2">
      <c r="B2546" s="9" t="s">
        <v>1259</v>
      </c>
      <c r="C2546" s="15" t="s">
        <v>1260</v>
      </c>
      <c r="D2546" s="12" t="str">
        <f>"1735-143X"</f>
        <v>1735-143X</v>
      </c>
      <c r="E2546" s="5">
        <v>0.66</v>
      </c>
      <c r="F2546" s="5">
        <v>1.0999999999999999E-2</v>
      </c>
    </row>
    <row r="2547" spans="2:6" x14ac:dyDescent="0.2">
      <c r="B2547" s="9" t="s">
        <v>9676</v>
      </c>
      <c r="C2547" s="15" t="s">
        <v>9677</v>
      </c>
      <c r="D2547" s="12" t="str">
        <f>"2304-3881"</f>
        <v>2304-3881</v>
      </c>
      <c r="E2547" s="5">
        <v>7.2930000000000001</v>
      </c>
      <c r="F2547" s="5">
        <v>0.96699999999999997</v>
      </c>
    </row>
    <row r="2548" spans="2:6" x14ac:dyDescent="0.2">
      <c r="B2548" s="9" t="s">
        <v>1261</v>
      </c>
      <c r="C2548" s="15" t="s">
        <v>1262</v>
      </c>
      <c r="D2548" s="12" t="str">
        <f>"1499-3872"</f>
        <v>1499-3872</v>
      </c>
      <c r="E2548" s="5">
        <v>3.78</v>
      </c>
      <c r="F2548" s="5">
        <v>0.45700000000000002</v>
      </c>
    </row>
    <row r="2549" spans="2:6" x14ac:dyDescent="0.2">
      <c r="B2549" s="9" t="s">
        <v>1263</v>
      </c>
      <c r="C2549" s="15" t="s">
        <v>1264</v>
      </c>
      <c r="D2549" s="12" t="str">
        <f>"1936-0541"</f>
        <v>1936-0541</v>
      </c>
      <c r="E2549" s="5">
        <v>6.0469999999999997</v>
      </c>
      <c r="F2549" s="5">
        <v>0.75</v>
      </c>
    </row>
    <row r="2550" spans="2:6" x14ac:dyDescent="0.2">
      <c r="B2550" s="9" t="s">
        <v>6798</v>
      </c>
      <c r="C2550" s="15" t="s">
        <v>6798</v>
      </c>
      <c r="D2550" s="12" t="str">
        <f>"0270-9139"</f>
        <v>0270-9139</v>
      </c>
      <c r="E2550" s="5">
        <v>17.425000000000001</v>
      </c>
      <c r="F2550" s="5">
        <v>0.94599999999999995</v>
      </c>
    </row>
    <row r="2551" spans="2:6" x14ac:dyDescent="0.2">
      <c r="B2551" s="9" t="s">
        <v>9678</v>
      </c>
      <c r="C2551" s="15" t="s">
        <v>9678</v>
      </c>
      <c r="D2551" s="12" t="str">
        <f>"2471-254X"</f>
        <v>2471-254X</v>
      </c>
      <c r="E2551" s="5">
        <v>5.0730000000000004</v>
      </c>
      <c r="F2551" s="5">
        <v>0.66300000000000003</v>
      </c>
    </row>
    <row r="2552" spans="2:6" x14ac:dyDescent="0.2">
      <c r="B2552" s="9" t="s">
        <v>6797</v>
      </c>
      <c r="C2552" s="15" t="s">
        <v>4302</v>
      </c>
      <c r="D2552" s="12" t="str">
        <f>"1386-6346"</f>
        <v>1386-6346</v>
      </c>
      <c r="E2552" s="5">
        <v>4.2880000000000003</v>
      </c>
      <c r="F2552" s="5">
        <v>0.58699999999999997</v>
      </c>
    </row>
    <row r="2553" spans="2:6" x14ac:dyDescent="0.2">
      <c r="B2553" s="9" t="s">
        <v>9679</v>
      </c>
      <c r="C2553" s="15" t="s">
        <v>9680</v>
      </c>
      <c r="D2553" s="12" t="str">
        <f>"1937-5867"</f>
        <v>1937-5867</v>
      </c>
      <c r="E2553" s="5">
        <v>2.6240000000000001</v>
      </c>
      <c r="F2553" s="5">
        <v>0.54300000000000004</v>
      </c>
    </row>
    <row r="2554" spans="2:6" x14ac:dyDescent="0.2">
      <c r="B2554" s="9" t="s">
        <v>1265</v>
      </c>
      <c r="C2554" s="15" t="s">
        <v>1266</v>
      </c>
      <c r="D2554" s="12" t="str">
        <f>"1731-2302"</f>
        <v>1731-2302</v>
      </c>
      <c r="E2554" s="5">
        <v>2.8570000000000002</v>
      </c>
      <c r="F2554" s="5">
        <v>0.20300000000000001</v>
      </c>
    </row>
    <row r="2555" spans="2:6" x14ac:dyDescent="0.2">
      <c r="B2555" s="9" t="s">
        <v>6800</v>
      </c>
      <c r="C2555" s="15" t="s">
        <v>6800</v>
      </c>
      <c r="D2555" s="12" t="str">
        <f>"1601-5223"</f>
        <v>1601-5223</v>
      </c>
      <c r="E2555" s="5">
        <v>3.2709999999999999</v>
      </c>
      <c r="F2555" s="5">
        <v>0.503</v>
      </c>
    </row>
    <row r="2556" spans="2:6" x14ac:dyDescent="0.2">
      <c r="B2556" s="9" t="s">
        <v>6801</v>
      </c>
      <c r="C2556" s="15" t="s">
        <v>6801</v>
      </c>
      <c r="D2556" s="12" t="str">
        <f>"0018-067X"</f>
        <v>0018-067X</v>
      </c>
      <c r="E2556" s="5">
        <v>3.8210000000000002</v>
      </c>
      <c r="F2556" s="5">
        <v>0.747</v>
      </c>
    </row>
    <row r="2557" spans="2:6" x14ac:dyDescent="0.2">
      <c r="B2557" s="9" t="s">
        <v>9681</v>
      </c>
      <c r="C2557" s="15" t="s">
        <v>9682</v>
      </c>
      <c r="D2557" s="12" t="str">
        <f>"2050-7445"</f>
        <v>2050-7445</v>
      </c>
      <c r="E2557" s="5">
        <v>2.5169999999999999</v>
      </c>
      <c r="F2557" s="5">
        <v>0.67400000000000004</v>
      </c>
    </row>
    <row r="2558" spans="2:6" x14ac:dyDescent="0.2">
      <c r="B2558" s="9" t="s">
        <v>9683</v>
      </c>
      <c r="C2558" s="15" t="s">
        <v>9684</v>
      </c>
      <c r="D2558" s="12" t="str">
        <f>"1265-4906"</f>
        <v>1265-4906</v>
      </c>
      <c r="E2558" s="5">
        <v>4.7389999999999999</v>
      </c>
      <c r="F2558" s="5">
        <v>0.876</v>
      </c>
    </row>
    <row r="2559" spans="2:6" x14ac:dyDescent="0.2">
      <c r="B2559" s="9" t="s">
        <v>9685</v>
      </c>
      <c r="C2559" s="15" t="s">
        <v>9686</v>
      </c>
      <c r="D2559" s="12" t="str">
        <f>"1592-1638"</f>
        <v>1592-1638</v>
      </c>
      <c r="E2559" s="5">
        <v>0.95499999999999996</v>
      </c>
      <c r="F2559" s="5">
        <v>4.9000000000000002E-2</v>
      </c>
    </row>
    <row r="2560" spans="2:6" x14ac:dyDescent="0.2">
      <c r="B2560" s="9" t="s">
        <v>6799</v>
      </c>
      <c r="C2560" s="15" t="s">
        <v>4303</v>
      </c>
      <c r="D2560" s="12" t="str">
        <f>"1019-3316"</f>
        <v>1019-3316</v>
      </c>
      <c r="E2560" s="5">
        <v>0.56000000000000005</v>
      </c>
      <c r="F2560" s="5">
        <v>0.28399999999999997</v>
      </c>
    </row>
    <row r="2561" spans="2:6" x14ac:dyDescent="0.2">
      <c r="B2561" s="9" t="s">
        <v>6802</v>
      </c>
      <c r="C2561" s="15" t="s">
        <v>6802</v>
      </c>
      <c r="D2561" s="12" t="str">
        <f>"0340-9937"</f>
        <v>0340-9937</v>
      </c>
      <c r="E2561" s="5">
        <v>1.4430000000000001</v>
      </c>
      <c r="F2561" s="5">
        <v>7.8E-2</v>
      </c>
    </row>
    <row r="2562" spans="2:6" x14ac:dyDescent="0.2">
      <c r="B2562" s="9" t="s">
        <v>6803</v>
      </c>
      <c r="C2562" s="15" t="s">
        <v>4304</v>
      </c>
      <c r="D2562" s="12" t="str">
        <f>"1042-7163"</f>
        <v>1042-7163</v>
      </c>
      <c r="E2562" s="5">
        <v>1.3660000000000001</v>
      </c>
      <c r="F2562" s="5">
        <v>0.24199999999999999</v>
      </c>
    </row>
    <row r="2563" spans="2:6" x14ac:dyDescent="0.2">
      <c r="B2563" s="9" t="s">
        <v>6804</v>
      </c>
      <c r="C2563" s="15" t="s">
        <v>4305</v>
      </c>
      <c r="D2563" s="12" t="str">
        <f>"0793-0283"</f>
        <v>0793-0283</v>
      </c>
      <c r="E2563" s="5">
        <v>1.1200000000000001</v>
      </c>
      <c r="F2563" s="5">
        <v>0.22800000000000001</v>
      </c>
    </row>
    <row r="2564" spans="2:6" x14ac:dyDescent="0.2">
      <c r="B2564" s="9" t="s">
        <v>6805</v>
      </c>
      <c r="C2564" s="15" t="s">
        <v>6805</v>
      </c>
      <c r="D2564" s="12" t="str">
        <f>"0385-5414"</f>
        <v>0385-5414</v>
      </c>
      <c r="E2564" s="5">
        <v>0.83099999999999996</v>
      </c>
      <c r="F2564" s="5">
        <v>0.123</v>
      </c>
    </row>
    <row r="2565" spans="2:6" x14ac:dyDescent="0.2">
      <c r="B2565" s="9" t="s">
        <v>9687</v>
      </c>
      <c r="C2565" s="15" t="s">
        <v>9688</v>
      </c>
      <c r="D2565" s="12" t="str">
        <f>"1359-8139"</f>
        <v>1359-8139</v>
      </c>
      <c r="E2565" s="5">
        <v>1.115</v>
      </c>
      <c r="F2565" s="5">
        <v>0.1</v>
      </c>
    </row>
    <row r="2566" spans="2:6" x14ac:dyDescent="0.2">
      <c r="B2566" s="9" t="s">
        <v>6806</v>
      </c>
      <c r="C2566" s="15" t="s">
        <v>4306</v>
      </c>
      <c r="D2566" s="12" t="str">
        <f>"1527-0297"</f>
        <v>1527-0297</v>
      </c>
      <c r="E2566" s="5">
        <v>1.9810000000000001</v>
      </c>
      <c r="F2566" s="5">
        <v>0.34799999999999998</v>
      </c>
    </row>
    <row r="2567" spans="2:6" x14ac:dyDescent="0.2">
      <c r="B2567" s="9" t="s">
        <v>9689</v>
      </c>
      <c r="C2567" s="15" t="s">
        <v>9690</v>
      </c>
      <c r="D2567" s="12" t="str">
        <f>"2095-4719"</f>
        <v>2095-4719</v>
      </c>
      <c r="E2567" s="5">
        <v>3.992</v>
      </c>
      <c r="F2567" s="5">
        <v>0.82799999999999996</v>
      </c>
    </row>
    <row r="2568" spans="2:6" x14ac:dyDescent="0.2">
      <c r="B2568" s="9" t="s">
        <v>1267</v>
      </c>
      <c r="C2568" s="15" t="s">
        <v>1268</v>
      </c>
      <c r="D2568" s="12" t="str">
        <f>"1120-7000"</f>
        <v>1120-7000</v>
      </c>
      <c r="E2568" s="5">
        <v>2.1349999999999998</v>
      </c>
      <c r="F2568" s="5">
        <v>0.39500000000000002</v>
      </c>
    </row>
    <row r="2569" spans="2:6" x14ac:dyDescent="0.2">
      <c r="B2569" s="9" t="s">
        <v>6807</v>
      </c>
      <c r="C2569" s="15" t="s">
        <v>6807</v>
      </c>
      <c r="D2569" s="12" t="str">
        <f>"1050-9631"</f>
        <v>1050-9631</v>
      </c>
      <c r="E2569" s="5">
        <v>3.899</v>
      </c>
      <c r="F2569" s="5">
        <v>0.54900000000000004</v>
      </c>
    </row>
    <row r="2570" spans="2:6" x14ac:dyDescent="0.2">
      <c r="B2570" s="9" t="s">
        <v>9691</v>
      </c>
      <c r="C2570" s="15" t="s">
        <v>9692</v>
      </c>
      <c r="D2570" s="12" t="str">
        <f>"1108-4189"</f>
        <v>1108-4189</v>
      </c>
      <c r="E2570" s="5">
        <v>0.47099999999999997</v>
      </c>
      <c r="F2570" s="5">
        <v>0.06</v>
      </c>
    </row>
    <row r="2571" spans="2:6" x14ac:dyDescent="0.2">
      <c r="B2571" s="9" t="s">
        <v>1269</v>
      </c>
      <c r="C2571" s="15" t="s">
        <v>1270</v>
      </c>
      <c r="D2571" s="12" t="str">
        <f>"0739-9863"</f>
        <v>0739-9863</v>
      </c>
      <c r="E2571" s="5">
        <v>0.79700000000000004</v>
      </c>
      <c r="F2571" s="5">
        <v>0.115</v>
      </c>
    </row>
    <row r="2572" spans="2:6" x14ac:dyDescent="0.2">
      <c r="B2572" s="9" t="s">
        <v>9693</v>
      </c>
      <c r="C2572" s="15" t="s">
        <v>9694</v>
      </c>
      <c r="D2572" s="12" t="str">
        <f>"2190-5010"</f>
        <v>2190-5010</v>
      </c>
      <c r="E2572" s="5">
        <v>0.5</v>
      </c>
      <c r="F2572" s="5">
        <v>0.24299999999999999</v>
      </c>
    </row>
    <row r="2573" spans="2:6" x14ac:dyDescent="0.2">
      <c r="B2573" s="9" t="s">
        <v>6808</v>
      </c>
      <c r="C2573" s="15" t="s">
        <v>4307</v>
      </c>
      <c r="D2573" s="12" t="str">
        <f>"0952-6951"</f>
        <v>0952-6951</v>
      </c>
      <c r="E2573" s="5">
        <v>0.69</v>
      </c>
      <c r="F2573" s="5">
        <v>0.441</v>
      </c>
    </row>
    <row r="2574" spans="2:6" x14ac:dyDescent="0.2">
      <c r="B2574" s="9" t="s">
        <v>6809</v>
      </c>
      <c r="C2574" s="15" t="s">
        <v>4308</v>
      </c>
      <c r="D2574" s="12" t="str">
        <f>"0315-0860"</f>
        <v>0315-0860</v>
      </c>
      <c r="E2574" s="5">
        <v>0.63900000000000001</v>
      </c>
      <c r="F2574" s="5">
        <v>0.32400000000000001</v>
      </c>
    </row>
    <row r="2575" spans="2:6" x14ac:dyDescent="0.2">
      <c r="B2575" s="9" t="s">
        <v>6813</v>
      </c>
      <c r="C2575" s="15" t="s">
        <v>4312</v>
      </c>
      <c r="D2575" s="12" t="str">
        <f>"0948-6143"</f>
        <v>0948-6143</v>
      </c>
      <c r="E2575" s="5">
        <v>4.3040000000000003</v>
      </c>
      <c r="F2575" s="5">
        <v>1</v>
      </c>
    </row>
    <row r="2576" spans="2:6" x14ac:dyDescent="0.2">
      <c r="B2576" s="9" t="s">
        <v>6814</v>
      </c>
      <c r="C2576" s="15" t="s">
        <v>4313</v>
      </c>
      <c r="D2576" s="12" t="str">
        <f>"0213-3911"</f>
        <v>0213-3911</v>
      </c>
      <c r="E2576" s="5">
        <v>2.3029999999999999</v>
      </c>
      <c r="F2576" s="5">
        <v>0.41599999999999998</v>
      </c>
    </row>
    <row r="2577" spans="2:6" x14ac:dyDescent="0.2">
      <c r="B2577" s="9" t="s">
        <v>6815</v>
      </c>
      <c r="C2577" s="15" t="s">
        <v>6815</v>
      </c>
      <c r="D2577" s="12" t="str">
        <f>"0309-0167"</f>
        <v>0309-0167</v>
      </c>
      <c r="E2577" s="5">
        <v>5.0869999999999997</v>
      </c>
      <c r="F2577" s="5">
        <v>0.77900000000000003</v>
      </c>
    </row>
    <row r="2578" spans="2:6" x14ac:dyDescent="0.2">
      <c r="B2578" s="9" t="s">
        <v>6810</v>
      </c>
      <c r="C2578" s="15" t="s">
        <v>4309</v>
      </c>
      <c r="D2578" s="12" t="str">
        <f>"0391-9714"</f>
        <v>0391-9714</v>
      </c>
      <c r="E2578" s="5">
        <v>1.2050000000000001</v>
      </c>
      <c r="F2578" s="5">
        <v>0.59499999999999997</v>
      </c>
    </row>
    <row r="2579" spans="2:6" x14ac:dyDescent="0.2">
      <c r="B2579" s="9" t="s">
        <v>6811</v>
      </c>
      <c r="C2579" s="15" t="s">
        <v>4310</v>
      </c>
      <c r="D2579" s="12" t="str">
        <f>"0144-5340"</f>
        <v>0144-5340</v>
      </c>
      <c r="E2579" s="5">
        <v>0.75</v>
      </c>
      <c r="F2579" s="5">
        <v>0.66700000000000004</v>
      </c>
    </row>
    <row r="2580" spans="2:6" x14ac:dyDescent="0.2">
      <c r="B2580" s="9" t="s">
        <v>1271</v>
      </c>
      <c r="C2580" s="15" t="s">
        <v>1272</v>
      </c>
      <c r="D2580" s="12" t="str">
        <f>"0957-154X"</f>
        <v>0957-154X</v>
      </c>
      <c r="E2580" s="5">
        <v>0.41899999999999998</v>
      </c>
      <c r="F2580" s="5">
        <v>0.11799999999999999</v>
      </c>
    </row>
    <row r="2581" spans="2:6" x14ac:dyDescent="0.2">
      <c r="B2581" s="9" t="s">
        <v>9695</v>
      </c>
      <c r="C2581" s="15" t="s">
        <v>9696</v>
      </c>
      <c r="D2581" s="12" t="str">
        <f>"1093-4510"</f>
        <v>1093-4510</v>
      </c>
      <c r="E2581" s="5">
        <v>1.0289999999999999</v>
      </c>
      <c r="F2581" s="5">
        <v>0.67600000000000005</v>
      </c>
    </row>
    <row r="2582" spans="2:6" x14ac:dyDescent="0.2">
      <c r="B2582" s="9" t="s">
        <v>9697</v>
      </c>
      <c r="C2582" s="15" t="s">
        <v>9698</v>
      </c>
      <c r="D2582" s="12" t="str">
        <f>"0727-3061"</f>
        <v>0727-3061</v>
      </c>
      <c r="E2582" s="5">
        <v>1.111</v>
      </c>
      <c r="F2582" s="5">
        <v>0.55400000000000005</v>
      </c>
    </row>
    <row r="2583" spans="2:6" x14ac:dyDescent="0.2">
      <c r="B2583" s="9" t="s">
        <v>6812</v>
      </c>
      <c r="C2583" s="15" t="s">
        <v>4311</v>
      </c>
      <c r="D2583" s="12" t="str">
        <f>"0073-2753"</f>
        <v>0073-2753</v>
      </c>
      <c r="E2583" s="5">
        <v>0.89200000000000002</v>
      </c>
      <c r="F2583" s="5">
        <v>0.48599999999999999</v>
      </c>
    </row>
    <row r="2584" spans="2:6" x14ac:dyDescent="0.2">
      <c r="B2584" s="9" t="s">
        <v>9699</v>
      </c>
      <c r="C2584" s="15" t="s">
        <v>9700</v>
      </c>
      <c r="D2584" s="12" t="str">
        <f>"0172-6404"</f>
        <v>0172-6404</v>
      </c>
      <c r="E2584" s="5">
        <v>0.47199999999999998</v>
      </c>
      <c r="F2584" s="5">
        <v>0.35599999999999998</v>
      </c>
    </row>
    <row r="2585" spans="2:6" x14ac:dyDescent="0.2">
      <c r="B2585" s="9" t="s">
        <v>9701</v>
      </c>
      <c r="C2585" s="15" t="s">
        <v>9702</v>
      </c>
      <c r="D2585" s="12" t="str">
        <f>"1939-1811"</f>
        <v>1939-1811</v>
      </c>
      <c r="E2585" s="5">
        <v>1.1619999999999999</v>
      </c>
      <c r="F2585" s="5">
        <v>0.56799999999999995</v>
      </c>
    </row>
    <row r="2586" spans="2:6" x14ac:dyDescent="0.2">
      <c r="B2586" s="9" t="s">
        <v>6816</v>
      </c>
      <c r="C2586" s="15" t="s">
        <v>4314</v>
      </c>
      <c r="D2586" s="12" t="str">
        <f>"1464-2662"</f>
        <v>1464-2662</v>
      </c>
      <c r="E2586" s="5">
        <v>3.18</v>
      </c>
      <c r="F2586" s="5">
        <v>0.42399999999999999</v>
      </c>
    </row>
    <row r="2587" spans="2:6" x14ac:dyDescent="0.2">
      <c r="B2587" s="9" t="s">
        <v>9703</v>
      </c>
      <c r="C2587" s="15" t="s">
        <v>9704</v>
      </c>
      <c r="D2587" s="12" t="str">
        <f>"2578-7489"</f>
        <v>2578-7489</v>
      </c>
      <c r="E2587" s="5">
        <v>1.2</v>
      </c>
      <c r="F2587" s="5">
        <v>8.4000000000000005E-2</v>
      </c>
    </row>
    <row r="2588" spans="2:6" x14ac:dyDescent="0.2">
      <c r="B2588" s="9" t="s">
        <v>9705</v>
      </c>
      <c r="C2588" s="15" t="s">
        <v>9705</v>
      </c>
      <c r="D2588" s="12" t="str">
        <f>"2059-2310"</f>
        <v>2059-2310</v>
      </c>
      <c r="E2588" s="5">
        <v>4.5129999999999999</v>
      </c>
      <c r="F2588" s="5">
        <v>0.76600000000000001</v>
      </c>
    </row>
    <row r="2589" spans="2:6" x14ac:dyDescent="0.2">
      <c r="B2589" s="9" t="s">
        <v>6817</v>
      </c>
      <c r="C2589" s="15" t="s">
        <v>6817</v>
      </c>
      <c r="D2589" s="12" t="str">
        <f>"0017-6192"</f>
        <v>0017-6192</v>
      </c>
      <c r="E2589" s="5">
        <v>1.284</v>
      </c>
      <c r="F2589" s="5">
        <v>0.13600000000000001</v>
      </c>
    </row>
    <row r="2590" spans="2:6" x14ac:dyDescent="0.2">
      <c r="B2590" s="9" t="s">
        <v>9706</v>
      </c>
      <c r="C2590" s="15" t="s">
        <v>9707</v>
      </c>
      <c r="D2590" s="12" t="str">
        <f>"0887-9311"</f>
        <v>0887-9311</v>
      </c>
      <c r="E2590" s="5">
        <v>1</v>
      </c>
      <c r="F2590" s="5">
        <v>0.14299999999999999</v>
      </c>
    </row>
    <row r="2591" spans="2:6" x14ac:dyDescent="0.2">
      <c r="B2591" s="9" t="s">
        <v>9708</v>
      </c>
      <c r="C2591" s="15" t="s">
        <v>9709</v>
      </c>
      <c r="D2591" s="12" t="str">
        <f>"1476-4245"</f>
        <v>1476-4245</v>
      </c>
      <c r="E2591" s="5">
        <v>1.444</v>
      </c>
      <c r="F2591" s="5">
        <v>0.32100000000000001</v>
      </c>
    </row>
    <row r="2592" spans="2:6" x14ac:dyDescent="0.2">
      <c r="B2592" s="9" t="s">
        <v>9710</v>
      </c>
      <c r="C2592" s="15" t="s">
        <v>9711</v>
      </c>
      <c r="D2592" s="12" t="str">
        <f>"1814-7453"</f>
        <v>1814-7453</v>
      </c>
      <c r="E2592" s="5">
        <v>9.0999999999999998E-2</v>
      </c>
      <c r="F2592" s="5">
        <v>1.4999999999999999E-2</v>
      </c>
    </row>
    <row r="2593" spans="2:6" x14ac:dyDescent="0.2">
      <c r="B2593" s="9" t="s">
        <v>9712</v>
      </c>
      <c r="C2593" s="15" t="s">
        <v>9713</v>
      </c>
      <c r="D2593" s="12" t="str">
        <f>"1024-9079"</f>
        <v>1024-9079</v>
      </c>
      <c r="E2593" s="5">
        <v>0.48599999999999999</v>
      </c>
      <c r="F2593" s="5">
        <v>6.3E-2</v>
      </c>
    </row>
    <row r="2594" spans="2:6" x14ac:dyDescent="0.2">
      <c r="B2594" s="9" t="s">
        <v>1273</v>
      </c>
      <c r="C2594" s="15" t="s">
        <v>1274</v>
      </c>
      <c r="D2594" s="12" t="str">
        <f>"1569-1861"</f>
        <v>1569-1861</v>
      </c>
      <c r="E2594" s="5">
        <v>0.91700000000000004</v>
      </c>
      <c r="F2594" s="5">
        <v>5.8999999999999997E-2</v>
      </c>
    </row>
    <row r="2595" spans="2:6" x14ac:dyDescent="0.2">
      <c r="B2595" s="9" t="s">
        <v>9714</v>
      </c>
      <c r="C2595" s="15" t="s">
        <v>9715</v>
      </c>
      <c r="D2595" s="12" t="str">
        <f>"1013-9923"</f>
        <v>1013-9923</v>
      </c>
      <c r="E2595" s="5">
        <v>0.14899999999999999</v>
      </c>
      <c r="F2595" s="5">
        <v>8.0000000000000002E-3</v>
      </c>
    </row>
    <row r="2596" spans="2:6" x14ac:dyDescent="0.2">
      <c r="B2596" s="9" t="s">
        <v>9716</v>
      </c>
      <c r="C2596" s="15" t="s">
        <v>9717</v>
      </c>
      <c r="D2596" s="12" t="str">
        <f>"1024-2708"</f>
        <v>1024-2708</v>
      </c>
      <c r="E2596" s="5">
        <v>2.2269999999999999</v>
      </c>
      <c r="F2596" s="5">
        <v>0.46700000000000003</v>
      </c>
    </row>
    <row r="2597" spans="2:6" x14ac:dyDescent="0.2">
      <c r="B2597" s="9" t="s">
        <v>6818</v>
      </c>
      <c r="C2597" s="15" t="s">
        <v>4315</v>
      </c>
      <c r="D2597" s="12" t="str">
        <f>"0018-506X"</f>
        <v>0018-506X</v>
      </c>
      <c r="E2597" s="5">
        <v>3.5870000000000002</v>
      </c>
      <c r="F2597" s="5">
        <v>0.79200000000000004</v>
      </c>
    </row>
    <row r="2598" spans="2:6" x14ac:dyDescent="0.2">
      <c r="B2598" s="9" t="s">
        <v>9718</v>
      </c>
      <c r="C2598" s="15" t="s">
        <v>9719</v>
      </c>
      <c r="D2598" s="12" t="str">
        <f>"1868-8497"</f>
        <v>1868-8497</v>
      </c>
      <c r="E2598" s="5">
        <v>3.8690000000000002</v>
      </c>
      <c r="F2598" s="5">
        <v>0.46899999999999997</v>
      </c>
    </row>
    <row r="2599" spans="2:6" x14ac:dyDescent="0.2">
      <c r="B2599" s="9" t="s">
        <v>9720</v>
      </c>
      <c r="C2599" s="15" t="s">
        <v>9721</v>
      </c>
      <c r="D2599" s="12" t="str">
        <f>"1109-3099"</f>
        <v>1109-3099</v>
      </c>
      <c r="E2599" s="5">
        <v>2.8849999999999998</v>
      </c>
      <c r="F2599" s="5">
        <v>0.27600000000000002</v>
      </c>
    </row>
    <row r="2600" spans="2:6" x14ac:dyDescent="0.2">
      <c r="B2600" s="9" t="s">
        <v>6819</v>
      </c>
      <c r="C2600" s="15" t="s">
        <v>4316</v>
      </c>
      <c r="D2600" s="12" t="str">
        <f>"0018-5043"</f>
        <v>0018-5043</v>
      </c>
      <c r="E2600" s="5">
        <v>2.9359999999999999</v>
      </c>
      <c r="F2600" s="5">
        <v>0.28999999999999998</v>
      </c>
    </row>
    <row r="2601" spans="2:6" x14ac:dyDescent="0.2">
      <c r="B2601" s="9" t="s">
        <v>9722</v>
      </c>
      <c r="C2601" s="15" t="s">
        <v>9723</v>
      </c>
      <c r="D2601" s="12" t="str">
        <f>"1663-2818"</f>
        <v>1663-2818</v>
      </c>
      <c r="E2601" s="5">
        <v>2.8519999999999999</v>
      </c>
      <c r="F2601" s="5">
        <v>0.68200000000000005</v>
      </c>
    </row>
    <row r="2602" spans="2:6" x14ac:dyDescent="0.2">
      <c r="B2602" s="9" t="s">
        <v>9724</v>
      </c>
      <c r="C2602" s="15" t="s">
        <v>9725</v>
      </c>
      <c r="D2602" s="12" t="str">
        <f>"2662-6810"</f>
        <v>2662-6810</v>
      </c>
      <c r="E2602" s="5">
        <v>6.7930000000000001</v>
      </c>
      <c r="F2602" s="5">
        <v>1</v>
      </c>
    </row>
    <row r="2603" spans="2:6" x14ac:dyDescent="0.2">
      <c r="B2603" s="9" t="s">
        <v>9726</v>
      </c>
      <c r="C2603" s="15" t="s">
        <v>9726</v>
      </c>
      <c r="D2603" s="12" t="str">
        <f>"1365-182X"</f>
        <v>1365-182X</v>
      </c>
      <c r="E2603" s="5">
        <v>3.6469999999999998</v>
      </c>
      <c r="F2603" s="5">
        <v>0.76700000000000002</v>
      </c>
    </row>
    <row r="2604" spans="2:6" x14ac:dyDescent="0.2">
      <c r="B2604" s="9" t="s">
        <v>9727</v>
      </c>
      <c r="C2604" s="15" t="s">
        <v>9728</v>
      </c>
      <c r="D2604" s="12" t="str">
        <f>"0018-7143"</f>
        <v>0018-7143</v>
      </c>
      <c r="E2604" s="5">
        <v>0.55300000000000005</v>
      </c>
      <c r="F2604" s="5">
        <v>0.14799999999999999</v>
      </c>
    </row>
    <row r="2605" spans="2:6" x14ac:dyDescent="0.2">
      <c r="B2605" s="9" t="s">
        <v>6820</v>
      </c>
      <c r="C2605" s="15" t="s">
        <v>4317</v>
      </c>
      <c r="D2605" s="12" t="str">
        <f>"1065-9471"</f>
        <v>1065-9471</v>
      </c>
      <c r="E2605" s="5">
        <v>5.0380000000000003</v>
      </c>
      <c r="F2605" s="5">
        <v>0.92300000000000004</v>
      </c>
    </row>
    <row r="2606" spans="2:6" x14ac:dyDescent="0.2">
      <c r="B2606" s="9" t="s">
        <v>1275</v>
      </c>
      <c r="C2606" s="15" t="s">
        <v>1276</v>
      </c>
      <c r="D2606" s="12" t="str">
        <f>"0914-7470"</f>
        <v>0914-7470</v>
      </c>
      <c r="E2606" s="5">
        <v>4.1740000000000004</v>
      </c>
      <c r="F2606" s="5">
        <v>0.435</v>
      </c>
    </row>
    <row r="2607" spans="2:6" x14ac:dyDescent="0.2">
      <c r="B2607" s="9" t="s">
        <v>1277</v>
      </c>
      <c r="C2607" s="15" t="s">
        <v>1278</v>
      </c>
      <c r="D2607" s="12" t="str">
        <f>"0018-716X"</f>
        <v>0018-716X</v>
      </c>
      <c r="E2607" s="5">
        <v>4.452</v>
      </c>
      <c r="F2607" s="5">
        <v>0.84399999999999997</v>
      </c>
    </row>
    <row r="2608" spans="2:6" x14ac:dyDescent="0.2">
      <c r="B2608" s="9" t="s">
        <v>6821</v>
      </c>
      <c r="C2608" s="15" t="s">
        <v>4318</v>
      </c>
      <c r="D2608" s="12" t="str">
        <f>"0960-3271"</f>
        <v>0960-3271</v>
      </c>
      <c r="E2608" s="5">
        <v>2.903</v>
      </c>
      <c r="F2608" s="5">
        <v>0.33300000000000002</v>
      </c>
    </row>
    <row r="2609" spans="2:6" x14ac:dyDescent="0.2">
      <c r="B2609" s="9" t="s">
        <v>6822</v>
      </c>
      <c r="C2609" s="15" t="s">
        <v>4319</v>
      </c>
      <c r="D2609" s="12" t="str">
        <f>"0018-7208"</f>
        <v>0018-7208</v>
      </c>
      <c r="E2609" s="5">
        <v>2.8879999999999999</v>
      </c>
      <c r="F2609" s="5">
        <v>0.57099999999999995</v>
      </c>
    </row>
    <row r="2610" spans="2:6" x14ac:dyDescent="0.2">
      <c r="B2610" s="9" t="s">
        <v>9729</v>
      </c>
      <c r="C2610" s="15" t="s">
        <v>9730</v>
      </c>
      <c r="D2610" s="12" t="str">
        <f>"1464-7273"</f>
        <v>1464-7273</v>
      </c>
      <c r="E2610" s="5">
        <v>2.7669999999999999</v>
      </c>
      <c r="F2610" s="5">
        <v>0.49399999999999999</v>
      </c>
    </row>
    <row r="2611" spans="2:6" x14ac:dyDescent="0.2">
      <c r="B2611" s="9" t="s">
        <v>6824</v>
      </c>
      <c r="C2611" s="15" t="s">
        <v>4321</v>
      </c>
      <c r="D2611" s="12" t="str">
        <f>"0340-6717"</f>
        <v>0340-6717</v>
      </c>
      <c r="E2611" s="5">
        <v>4.1319999999999997</v>
      </c>
      <c r="F2611" s="5">
        <v>0.64600000000000002</v>
      </c>
    </row>
    <row r="2612" spans="2:6" x14ac:dyDescent="0.2">
      <c r="B2612" s="9" t="s">
        <v>6823</v>
      </c>
      <c r="C2612" s="15" t="s">
        <v>4320</v>
      </c>
      <c r="D2612" s="12" t="str">
        <f>"1557-7422"</f>
        <v>1557-7422</v>
      </c>
      <c r="E2612" s="5">
        <v>5.6950000000000003</v>
      </c>
      <c r="F2612" s="5">
        <v>0.85399999999999998</v>
      </c>
    </row>
    <row r="2613" spans="2:6" x14ac:dyDescent="0.2">
      <c r="B2613" s="9" t="s">
        <v>9731</v>
      </c>
      <c r="C2613" s="15" t="s">
        <v>9732</v>
      </c>
      <c r="D2613" s="12" t="str">
        <f>"2324-8637"</f>
        <v>2324-8637</v>
      </c>
      <c r="E2613" s="5">
        <v>5.032</v>
      </c>
      <c r="F2613" s="5">
        <v>0.75</v>
      </c>
    </row>
    <row r="2614" spans="2:6" x14ac:dyDescent="0.2">
      <c r="B2614" s="9" t="s">
        <v>9733</v>
      </c>
      <c r="C2614" s="15" t="s">
        <v>9734</v>
      </c>
      <c r="D2614" s="12" t="str">
        <f>"1946-6536"</f>
        <v>1946-6536</v>
      </c>
      <c r="E2614" s="5">
        <v>2.3959999999999999</v>
      </c>
      <c r="F2614" s="5">
        <v>0.32</v>
      </c>
    </row>
    <row r="2615" spans="2:6" x14ac:dyDescent="0.2">
      <c r="B2615" s="9" t="s">
        <v>9735</v>
      </c>
      <c r="C2615" s="15" t="s">
        <v>9736</v>
      </c>
      <c r="D2615" s="12" t="str">
        <f>"1473-9542"</f>
        <v>1473-9542</v>
      </c>
      <c r="E2615" s="5">
        <v>4.6390000000000002</v>
      </c>
      <c r="F2615" s="5">
        <v>0.73699999999999999</v>
      </c>
    </row>
    <row r="2616" spans="2:6" x14ac:dyDescent="0.2">
      <c r="B2616" s="9" t="s">
        <v>6825</v>
      </c>
      <c r="C2616" s="15" t="s">
        <v>4322</v>
      </c>
      <c r="D2616" s="12" t="str">
        <f>"0001-5652"</f>
        <v>0001-5652</v>
      </c>
      <c r="E2616" s="5">
        <v>0.44400000000000001</v>
      </c>
      <c r="F2616" s="5">
        <v>1.0999999999999999E-2</v>
      </c>
    </row>
    <row r="2617" spans="2:6" x14ac:dyDescent="0.2">
      <c r="B2617" s="9" t="s">
        <v>6826</v>
      </c>
      <c r="C2617" s="15" t="s">
        <v>4323</v>
      </c>
      <c r="D2617" s="12" t="str">
        <f>"0198-8859"</f>
        <v>0198-8859</v>
      </c>
      <c r="E2617" s="5">
        <v>2.85</v>
      </c>
      <c r="F2617" s="5">
        <v>0.27200000000000002</v>
      </c>
    </row>
    <row r="2618" spans="2:6" x14ac:dyDescent="0.2">
      <c r="B2618" s="9" t="s">
        <v>6827</v>
      </c>
      <c r="C2618" s="15" t="s">
        <v>4324</v>
      </c>
      <c r="D2618" s="12" t="str">
        <f>"0964-6906"</f>
        <v>0964-6906</v>
      </c>
      <c r="E2618" s="5">
        <v>6.15</v>
      </c>
      <c r="F2618" s="5">
        <v>0.874</v>
      </c>
    </row>
    <row r="2619" spans="2:6" x14ac:dyDescent="0.2">
      <c r="B2619" s="9" t="s">
        <v>6828</v>
      </c>
      <c r="C2619" s="15" t="s">
        <v>4325</v>
      </c>
      <c r="D2619" s="12" t="str">
        <f>"0167-9457"</f>
        <v>0167-9457</v>
      </c>
      <c r="E2619" s="5">
        <v>2.161</v>
      </c>
      <c r="F2619" s="5">
        <v>0.38900000000000001</v>
      </c>
    </row>
    <row r="2620" spans="2:6" x14ac:dyDescent="0.2">
      <c r="B2620" s="9" t="s">
        <v>6829</v>
      </c>
      <c r="C2620" s="15" t="s">
        <v>4326</v>
      </c>
      <c r="D2620" s="12" t="str">
        <f>"1059-7794"</f>
        <v>1059-7794</v>
      </c>
      <c r="E2620" s="5">
        <v>4.8780000000000001</v>
      </c>
      <c r="F2620" s="5">
        <v>0.754</v>
      </c>
    </row>
    <row r="2621" spans="2:6" x14ac:dyDescent="0.2">
      <c r="B2621" s="9" t="s">
        <v>1279</v>
      </c>
      <c r="C2621" s="15" t="s">
        <v>1280</v>
      </c>
      <c r="D2621" s="12" t="str">
        <f>"1045-6767"</f>
        <v>1045-6767</v>
      </c>
      <c r="E2621" s="5">
        <v>2.444</v>
      </c>
      <c r="F2621" s="5">
        <v>0.79500000000000004</v>
      </c>
    </row>
    <row r="2622" spans="2:6" x14ac:dyDescent="0.2">
      <c r="B2622" s="9" t="s">
        <v>1289</v>
      </c>
      <c r="C2622" s="15" t="s">
        <v>1290</v>
      </c>
      <c r="D2622" s="12" t="str">
        <f>"0933-1719"</f>
        <v>0933-1719</v>
      </c>
      <c r="E2622" s="5">
        <v>0.81</v>
      </c>
      <c r="F2622" s="5">
        <v>0.129</v>
      </c>
    </row>
    <row r="2623" spans="2:6" x14ac:dyDescent="0.2">
      <c r="B2623" s="9" t="s">
        <v>1281</v>
      </c>
      <c r="C2623" s="15" t="s">
        <v>1282</v>
      </c>
      <c r="D2623" s="12" t="str">
        <f>"0018-7259"</f>
        <v>0018-7259</v>
      </c>
      <c r="E2623" s="5">
        <v>0.83299999999999996</v>
      </c>
      <c r="F2623" s="5">
        <v>0.28399999999999997</v>
      </c>
    </row>
    <row r="2624" spans="2:6" x14ac:dyDescent="0.2">
      <c r="B2624" s="9" t="s">
        <v>6830</v>
      </c>
      <c r="C2624" s="15" t="s">
        <v>4327</v>
      </c>
      <c r="D2624" s="12" t="str">
        <f>"0046-8177"</f>
        <v>0046-8177</v>
      </c>
      <c r="E2624" s="5">
        <v>3.4660000000000002</v>
      </c>
      <c r="F2624" s="5">
        <v>0.66200000000000003</v>
      </c>
    </row>
    <row r="2625" spans="2:6" x14ac:dyDescent="0.2">
      <c r="B2625" s="9" t="s">
        <v>1283</v>
      </c>
      <c r="C2625" s="15" t="s">
        <v>1284</v>
      </c>
      <c r="D2625" s="12" t="str">
        <f>"0895-9285"</f>
        <v>0895-9285</v>
      </c>
      <c r="E2625" s="5">
        <v>2.423</v>
      </c>
      <c r="F2625" s="5">
        <v>0.373</v>
      </c>
    </row>
    <row r="2626" spans="2:6" x14ac:dyDescent="0.2">
      <c r="B2626" s="9" t="s">
        <v>6831</v>
      </c>
      <c r="C2626" s="15" t="s">
        <v>4328</v>
      </c>
      <c r="D2626" s="12" t="str">
        <f>"1099-1077"</f>
        <v>1099-1077</v>
      </c>
      <c r="E2626" s="5">
        <v>1.6719999999999999</v>
      </c>
      <c r="F2626" s="5">
        <v>0.23400000000000001</v>
      </c>
    </row>
    <row r="2627" spans="2:6" x14ac:dyDescent="0.2">
      <c r="B2627" s="9" t="s">
        <v>1285</v>
      </c>
      <c r="C2627" s="15" t="s">
        <v>1286</v>
      </c>
      <c r="D2627" s="12" t="str">
        <f>"0018-7267"</f>
        <v>0018-7267</v>
      </c>
      <c r="E2627" s="5">
        <v>5.7320000000000002</v>
      </c>
      <c r="F2627" s="5">
        <v>0.99099999999999999</v>
      </c>
    </row>
    <row r="2628" spans="2:6" x14ac:dyDescent="0.2">
      <c r="B2628" s="9" t="s">
        <v>6832</v>
      </c>
      <c r="C2628" s="15" t="s">
        <v>4329</v>
      </c>
      <c r="D2628" s="12" t="str">
        <f>"0268-1161"</f>
        <v>0268-1161</v>
      </c>
      <c r="E2628" s="5">
        <v>6.9180000000000001</v>
      </c>
      <c r="F2628" s="5">
        <v>0.94</v>
      </c>
    </row>
    <row r="2629" spans="2:6" x14ac:dyDescent="0.2">
      <c r="B2629" s="9" t="s">
        <v>6833</v>
      </c>
      <c r="C2629" s="15" t="s">
        <v>4330</v>
      </c>
      <c r="D2629" s="12" t="str">
        <f>"1355-4786"</f>
        <v>1355-4786</v>
      </c>
      <c r="E2629" s="5">
        <v>15.61</v>
      </c>
      <c r="F2629" s="5">
        <v>1</v>
      </c>
    </row>
    <row r="2630" spans="2:6" x14ac:dyDescent="0.2">
      <c r="B2630" s="9" t="s">
        <v>9737</v>
      </c>
      <c r="C2630" s="15" t="s">
        <v>9738</v>
      </c>
      <c r="D2630" s="12" t="str">
        <f>"1044-8004"</f>
        <v>1044-8004</v>
      </c>
      <c r="E2630" s="5">
        <v>4.077</v>
      </c>
      <c r="F2630" s="5">
        <v>0.76700000000000002</v>
      </c>
    </row>
    <row r="2631" spans="2:6" x14ac:dyDescent="0.2">
      <c r="B2631" s="9" t="s">
        <v>9739</v>
      </c>
      <c r="C2631" s="15" t="s">
        <v>9740</v>
      </c>
      <c r="D2631" s="12" t="str">
        <f>"1478-4491"</f>
        <v>1478-4491</v>
      </c>
      <c r="E2631" s="5">
        <v>3.1920000000000002</v>
      </c>
      <c r="F2631" s="5">
        <v>0.70499999999999996</v>
      </c>
    </row>
    <row r="2632" spans="2:6" x14ac:dyDescent="0.2">
      <c r="B2632" s="9" t="s">
        <v>1287</v>
      </c>
      <c r="C2632" s="15" t="s">
        <v>1288</v>
      </c>
      <c r="D2632" s="12" t="str">
        <f>"1099-050X"</f>
        <v>1099-050X</v>
      </c>
      <c r="E2632" s="5">
        <v>5.0780000000000003</v>
      </c>
      <c r="F2632" s="5">
        <v>0.81899999999999995</v>
      </c>
    </row>
    <row r="2633" spans="2:6" x14ac:dyDescent="0.2">
      <c r="B2633" s="9" t="s">
        <v>9741</v>
      </c>
      <c r="C2633" s="15" t="s">
        <v>9742</v>
      </c>
      <c r="D2633" s="12" t="str">
        <f>"2164-5515"</f>
        <v>2164-5515</v>
      </c>
      <c r="E2633" s="5">
        <v>3.452</v>
      </c>
      <c r="F2633" s="5">
        <v>0.58199999999999996</v>
      </c>
    </row>
    <row r="2634" spans="2:6" x14ac:dyDescent="0.2">
      <c r="B2634" s="9" t="s">
        <v>9743</v>
      </c>
      <c r="C2634" s="15" t="s">
        <v>9743</v>
      </c>
      <c r="D2634" s="12" t="str">
        <f>"1433-5158"</f>
        <v>1433-5158</v>
      </c>
      <c r="E2634" s="5">
        <v>0.28599999999999998</v>
      </c>
      <c r="F2634" s="5">
        <v>6.8000000000000005E-2</v>
      </c>
    </row>
    <row r="2635" spans="2:6" x14ac:dyDescent="0.2">
      <c r="B2635" s="9" t="s">
        <v>9744</v>
      </c>
      <c r="C2635" s="15" t="s">
        <v>9745</v>
      </c>
      <c r="D2635" s="12" t="str">
        <f>"0887-5367"</f>
        <v>0887-5367</v>
      </c>
      <c r="E2635" s="5">
        <v>1.012</v>
      </c>
      <c r="F2635" s="5">
        <v>0.318</v>
      </c>
    </row>
    <row r="2636" spans="2:6" x14ac:dyDescent="0.2">
      <c r="B2636" s="9" t="s">
        <v>6836</v>
      </c>
      <c r="C2636" s="15" t="s">
        <v>6836</v>
      </c>
      <c r="D2636" s="12" t="str">
        <f>"0194-911X"</f>
        <v>0194-911X</v>
      </c>
      <c r="E2636" s="5">
        <v>10.19</v>
      </c>
      <c r="F2636" s="5">
        <v>0.96899999999999997</v>
      </c>
    </row>
    <row r="2637" spans="2:6" x14ac:dyDescent="0.2">
      <c r="B2637" s="9" t="s">
        <v>6834</v>
      </c>
      <c r="C2637" s="15" t="s">
        <v>4331</v>
      </c>
      <c r="D2637" s="12" t="str">
        <f>"1064-1955"</f>
        <v>1064-1955</v>
      </c>
      <c r="E2637" s="5">
        <v>2.1080000000000001</v>
      </c>
      <c r="F2637" s="5">
        <v>0.313</v>
      </c>
    </row>
    <row r="2638" spans="2:6" x14ac:dyDescent="0.2">
      <c r="B2638" s="9" t="s">
        <v>6835</v>
      </c>
      <c r="C2638" s="15" t="s">
        <v>4332</v>
      </c>
      <c r="D2638" s="12" t="str">
        <f>"0916-9636"</f>
        <v>0916-9636</v>
      </c>
      <c r="E2638" s="5">
        <v>3.8719999999999999</v>
      </c>
      <c r="F2638" s="5">
        <v>0.66200000000000003</v>
      </c>
    </row>
    <row r="2639" spans="2:6" x14ac:dyDescent="0.2">
      <c r="B2639" s="9" t="s">
        <v>6837</v>
      </c>
      <c r="C2639" s="15" t="s">
        <v>4333</v>
      </c>
      <c r="D2639" s="12" t="str">
        <f>"0018-8646"</f>
        <v>0018-8646</v>
      </c>
      <c r="E2639" s="5">
        <v>1.889</v>
      </c>
      <c r="F2639" s="5">
        <v>0.58199999999999996</v>
      </c>
    </row>
    <row r="2640" spans="2:6" x14ac:dyDescent="0.2">
      <c r="B2640" s="9" t="s">
        <v>9746</v>
      </c>
      <c r="C2640" s="15" t="s">
        <v>9747</v>
      </c>
      <c r="D2640" s="12" t="str">
        <f>"0019-1442"</f>
        <v>0019-1442</v>
      </c>
      <c r="E2640" s="5">
        <v>0.42699999999999999</v>
      </c>
      <c r="F2640" s="5">
        <v>1.4999999999999999E-2</v>
      </c>
    </row>
    <row r="2641" spans="2:6" x14ac:dyDescent="0.2">
      <c r="B2641" s="9" t="s">
        <v>9748</v>
      </c>
      <c r="C2641" s="15" t="s">
        <v>9749</v>
      </c>
      <c r="D2641" s="12" t="str">
        <f>"2329-9290"</f>
        <v>2329-9290</v>
      </c>
      <c r="E2641" s="5">
        <v>3.919</v>
      </c>
      <c r="F2641" s="5">
        <v>0.90300000000000002</v>
      </c>
    </row>
    <row r="2642" spans="2:6" x14ac:dyDescent="0.2">
      <c r="B2642" s="9" t="s">
        <v>6838</v>
      </c>
      <c r="C2642" s="15" t="s">
        <v>4334</v>
      </c>
      <c r="D2642" s="12" t="str">
        <f>"1545-5963"</f>
        <v>1545-5963</v>
      </c>
      <c r="E2642" s="5">
        <v>3.71</v>
      </c>
      <c r="F2642" s="5">
        <v>0.88800000000000001</v>
      </c>
    </row>
    <row r="2643" spans="2:6" x14ac:dyDescent="0.2">
      <c r="B2643" s="9" t="s">
        <v>6839</v>
      </c>
      <c r="C2643" s="15" t="s">
        <v>4335</v>
      </c>
      <c r="D2643" s="12" t="str">
        <f>"1058-6180"</f>
        <v>1058-6180</v>
      </c>
      <c r="E2643" s="5">
        <v>0.35099999999999998</v>
      </c>
      <c r="F2643" s="5">
        <v>0.13500000000000001</v>
      </c>
    </row>
    <row r="2644" spans="2:6" x14ac:dyDescent="0.2">
      <c r="B2644" s="9" t="s">
        <v>6848</v>
      </c>
      <c r="C2644" s="15" t="s">
        <v>4344</v>
      </c>
      <c r="D2644" s="12" t="str">
        <f>"1083-4435"</f>
        <v>1083-4435</v>
      </c>
      <c r="E2644" s="5">
        <v>5.3029999999999999</v>
      </c>
      <c r="F2644" s="5">
        <v>0.91</v>
      </c>
    </row>
    <row r="2645" spans="2:6" x14ac:dyDescent="0.2">
      <c r="B2645" s="9" t="s">
        <v>9750</v>
      </c>
      <c r="C2645" s="15" t="s">
        <v>9751</v>
      </c>
      <c r="D2645" s="12" t="str">
        <f>"2168-2208"</f>
        <v>2168-2208</v>
      </c>
      <c r="E2645" s="5">
        <v>5.7720000000000002</v>
      </c>
      <c r="F2645" s="5">
        <v>0.93100000000000005</v>
      </c>
    </row>
    <row r="2646" spans="2:6" x14ac:dyDescent="0.2">
      <c r="B2646" s="9" t="s">
        <v>9752</v>
      </c>
      <c r="C2646" s="15" t="s">
        <v>9753</v>
      </c>
      <c r="D2646" s="12" t="str">
        <f>"0018-9197"</f>
        <v>0018-9197</v>
      </c>
      <c r="E2646" s="5">
        <v>2.3180000000000001</v>
      </c>
      <c r="F2646" s="5">
        <v>0.505</v>
      </c>
    </row>
    <row r="2647" spans="2:6" x14ac:dyDescent="0.2">
      <c r="B2647" s="9" t="s">
        <v>6840</v>
      </c>
      <c r="C2647" s="15" t="s">
        <v>4336</v>
      </c>
      <c r="D2647" s="12" t="str">
        <f>"1077-260X"</f>
        <v>1077-260X</v>
      </c>
      <c r="E2647" s="5">
        <v>4.5439999999999996</v>
      </c>
      <c r="F2647" s="5">
        <v>0.86899999999999999</v>
      </c>
    </row>
    <row r="2648" spans="2:6" x14ac:dyDescent="0.2">
      <c r="B2648" s="9" t="s">
        <v>9754</v>
      </c>
      <c r="C2648" s="15" t="s">
        <v>9755</v>
      </c>
      <c r="D2648" s="12" t="str">
        <f>"2168-2372"</f>
        <v>2168-2372</v>
      </c>
      <c r="E2648" s="5">
        <v>3.3159999999999998</v>
      </c>
      <c r="F2648" s="5">
        <v>0.52900000000000003</v>
      </c>
    </row>
    <row r="2649" spans="2:6" x14ac:dyDescent="0.2">
      <c r="B2649" s="9" t="s">
        <v>9756</v>
      </c>
      <c r="C2649" s="15" t="s">
        <v>9757</v>
      </c>
      <c r="D2649" s="12" t="str">
        <f>"1943-0655"</f>
        <v>1943-0655</v>
      </c>
      <c r="E2649" s="5">
        <v>2.4430000000000001</v>
      </c>
      <c r="F2649" s="5">
        <v>0.53500000000000003</v>
      </c>
    </row>
    <row r="2650" spans="2:6" x14ac:dyDescent="0.2">
      <c r="B2650" s="9" t="s">
        <v>6841</v>
      </c>
      <c r="C2650" s="15" t="s">
        <v>4337</v>
      </c>
      <c r="D2650" s="12" t="str">
        <f>"1041-1135"</f>
        <v>1041-1135</v>
      </c>
      <c r="E2650" s="5">
        <v>2.468</v>
      </c>
      <c r="F2650" s="5">
        <v>0.56599999999999995</v>
      </c>
    </row>
    <row r="2651" spans="2:6" x14ac:dyDescent="0.2">
      <c r="B2651" s="9" t="s">
        <v>9758</v>
      </c>
      <c r="C2651" s="15" t="s">
        <v>9759</v>
      </c>
      <c r="D2651" s="12" t="str">
        <f>"2154-2287"</f>
        <v>2154-2287</v>
      </c>
      <c r="E2651" s="5">
        <v>0.92400000000000004</v>
      </c>
      <c r="F2651" s="5">
        <v>5.7000000000000002E-2</v>
      </c>
    </row>
    <row r="2652" spans="2:6" x14ac:dyDescent="0.2">
      <c r="B2652" s="9" t="s">
        <v>1291</v>
      </c>
      <c r="C2652" s="15" t="s">
        <v>1292</v>
      </c>
      <c r="D2652" s="12" t="str">
        <f>"1932-4545"</f>
        <v>1932-4545</v>
      </c>
      <c r="E2652" s="5">
        <v>3.8330000000000002</v>
      </c>
      <c r="F2652" s="5">
        <v>0.74</v>
      </c>
    </row>
    <row r="2653" spans="2:6" x14ac:dyDescent="0.2">
      <c r="B2653" s="9" t="s">
        <v>6842</v>
      </c>
      <c r="C2653" s="15" t="s">
        <v>4338</v>
      </c>
      <c r="D2653" s="12" t="str">
        <f>"0018-9294"</f>
        <v>0018-9294</v>
      </c>
      <c r="E2653" s="5">
        <v>4.5380000000000003</v>
      </c>
      <c r="F2653" s="5">
        <v>0.747</v>
      </c>
    </row>
    <row r="2654" spans="2:6" x14ac:dyDescent="0.2">
      <c r="B2654" s="9" t="s">
        <v>9760</v>
      </c>
      <c r="C2654" s="15" t="s">
        <v>9761</v>
      </c>
      <c r="D2654" s="12" t="str">
        <f>"2379-8920"</f>
        <v>2379-8920</v>
      </c>
      <c r="E2654" s="5">
        <v>3.379</v>
      </c>
      <c r="F2654" s="5">
        <v>0.64300000000000002</v>
      </c>
    </row>
    <row r="2655" spans="2:6" ht="25.5" x14ac:dyDescent="0.2">
      <c r="B2655" s="9" t="s">
        <v>1293</v>
      </c>
      <c r="C2655" s="15" t="s">
        <v>9762</v>
      </c>
      <c r="D2655" s="12" t="str">
        <f>"0278-0070"</f>
        <v>0278-0070</v>
      </c>
      <c r="E2655" s="5">
        <v>2.8069999999999999</v>
      </c>
      <c r="F2655" s="5">
        <v>0.623</v>
      </c>
    </row>
    <row r="2656" spans="2:6" x14ac:dyDescent="0.2">
      <c r="B2656" s="9" t="s">
        <v>6843</v>
      </c>
      <c r="C2656" s="15" t="s">
        <v>4339</v>
      </c>
      <c r="D2656" s="12" t="str">
        <f>"0018-9359"</f>
        <v>0018-9359</v>
      </c>
      <c r="E2656" s="5">
        <v>2.1160000000000001</v>
      </c>
      <c r="F2656" s="5">
        <v>0.41</v>
      </c>
    </row>
    <row r="2657" spans="2:6" x14ac:dyDescent="0.2">
      <c r="B2657" s="9" t="s">
        <v>1294</v>
      </c>
      <c r="C2657" s="15" t="s">
        <v>1295</v>
      </c>
      <c r="D2657" s="12" t="str">
        <f>"1551-3203"</f>
        <v>1551-3203</v>
      </c>
      <c r="E2657" s="5">
        <v>10.215</v>
      </c>
      <c r="F2657" s="5">
        <v>1</v>
      </c>
    </row>
    <row r="2658" spans="2:6" x14ac:dyDescent="0.2">
      <c r="B2658" s="9" t="s">
        <v>9763</v>
      </c>
      <c r="C2658" s="15" t="s">
        <v>9764</v>
      </c>
      <c r="D2658" s="12" t="str">
        <f>"1939-1382"</f>
        <v>1939-1382</v>
      </c>
      <c r="E2658" s="5">
        <v>3.72</v>
      </c>
      <c r="F2658" s="5">
        <v>0.81399999999999995</v>
      </c>
    </row>
    <row r="2659" spans="2:6" x14ac:dyDescent="0.2">
      <c r="B2659" s="9" t="s">
        <v>6844</v>
      </c>
      <c r="C2659" s="15" t="s">
        <v>4340</v>
      </c>
      <c r="D2659" s="12" t="str">
        <f>"0278-0062"</f>
        <v>0278-0062</v>
      </c>
      <c r="E2659" s="5">
        <v>10.048</v>
      </c>
      <c r="F2659" s="5">
        <v>0.97699999999999998</v>
      </c>
    </row>
    <row r="2660" spans="2:6" x14ac:dyDescent="0.2">
      <c r="B2660" s="9" t="s">
        <v>6845</v>
      </c>
      <c r="C2660" s="15" t="s">
        <v>4341</v>
      </c>
      <c r="D2660" s="12" t="str">
        <f>"1536-1241"</f>
        <v>1536-1241</v>
      </c>
      <c r="E2660" s="5">
        <v>2.9350000000000001</v>
      </c>
      <c r="F2660" s="5">
        <v>0.45500000000000002</v>
      </c>
    </row>
    <row r="2661" spans="2:6" x14ac:dyDescent="0.2">
      <c r="B2661" s="9" t="s">
        <v>6846</v>
      </c>
      <c r="C2661" s="15" t="s">
        <v>4342</v>
      </c>
      <c r="D2661" s="12" t="str">
        <f>"1534-4320"</f>
        <v>1534-4320</v>
      </c>
      <c r="E2661" s="5">
        <v>3.802</v>
      </c>
      <c r="F2661" s="5">
        <v>0.94099999999999995</v>
      </c>
    </row>
    <row r="2662" spans="2:6" x14ac:dyDescent="0.2">
      <c r="B2662" s="9" t="s">
        <v>9765</v>
      </c>
      <c r="C2662" s="15" t="s">
        <v>9766</v>
      </c>
      <c r="D2662" s="12" t="str">
        <f>"2156-342X"</f>
        <v>2156-342X</v>
      </c>
      <c r="E2662" s="5">
        <v>3.274</v>
      </c>
      <c r="F2662" s="5">
        <v>0.72699999999999998</v>
      </c>
    </row>
    <row r="2663" spans="2:6" ht="25.5" x14ac:dyDescent="0.2">
      <c r="B2663" s="9" t="s">
        <v>6847</v>
      </c>
      <c r="C2663" s="15" t="s">
        <v>4343</v>
      </c>
      <c r="D2663" s="12" t="str">
        <f>"0885-3010"</f>
        <v>0885-3010</v>
      </c>
      <c r="E2663" s="5">
        <v>2.7250000000000001</v>
      </c>
      <c r="F2663" s="5">
        <v>0.71</v>
      </c>
    </row>
    <row r="2664" spans="2:6" x14ac:dyDescent="0.2">
      <c r="B2664" s="9" t="s">
        <v>1296</v>
      </c>
      <c r="C2664" s="15" t="s">
        <v>1297</v>
      </c>
      <c r="D2664" s="12" t="str">
        <f>"1751-8741"</f>
        <v>1751-8741</v>
      </c>
      <c r="E2664" s="5">
        <v>1.847</v>
      </c>
      <c r="F2664" s="5">
        <v>0.16</v>
      </c>
    </row>
    <row r="2665" spans="2:6" x14ac:dyDescent="0.2">
      <c r="B2665" s="9" t="s">
        <v>1298</v>
      </c>
      <c r="C2665" s="15" t="s">
        <v>1299</v>
      </c>
      <c r="D2665" s="12" t="str">
        <f>"1751-8768"</f>
        <v>1751-8768</v>
      </c>
      <c r="E2665" s="5">
        <v>1.6359999999999999</v>
      </c>
      <c r="F2665" s="5">
        <v>0.32300000000000001</v>
      </c>
    </row>
    <row r="2666" spans="2:6" x14ac:dyDescent="0.2">
      <c r="B2666" s="9" t="s">
        <v>1300</v>
      </c>
      <c r="C2666" s="15" t="s">
        <v>1301</v>
      </c>
      <c r="D2666" s="12" t="str">
        <f>"1751-8849"</f>
        <v>1751-8849</v>
      </c>
      <c r="E2666" s="5">
        <v>1.615</v>
      </c>
      <c r="F2666" s="5">
        <v>0.224</v>
      </c>
    </row>
    <row r="2667" spans="2:6" x14ac:dyDescent="0.2">
      <c r="B2667" s="9" t="s">
        <v>9767</v>
      </c>
      <c r="C2667" s="15" t="s">
        <v>9768</v>
      </c>
      <c r="D2667" s="12" t="str">
        <f>"2228-6187"</f>
        <v>2228-6187</v>
      </c>
      <c r="E2667" s="5">
        <v>1.5960000000000001</v>
      </c>
      <c r="F2667" s="5">
        <v>0.28599999999999998</v>
      </c>
    </row>
    <row r="2668" spans="2:6" x14ac:dyDescent="0.2">
      <c r="B2668" s="9" t="s">
        <v>9769</v>
      </c>
      <c r="C2668" s="15" t="s">
        <v>9770</v>
      </c>
      <c r="D2668" s="12" t="str">
        <f>"2210-6340"</f>
        <v>2210-6340</v>
      </c>
      <c r="E2668" s="5">
        <v>3.5150000000000001</v>
      </c>
      <c r="F2668" s="5">
        <v>0.69</v>
      </c>
    </row>
    <row r="2669" spans="2:6" x14ac:dyDescent="0.2">
      <c r="B2669" s="9" t="s">
        <v>6849</v>
      </c>
      <c r="C2669" s="15" t="s">
        <v>4345</v>
      </c>
      <c r="D2669" s="12" t="str">
        <f>"0262-8856"</f>
        <v>0262-8856</v>
      </c>
      <c r="E2669" s="5">
        <v>2.8180000000000001</v>
      </c>
      <c r="F2669" s="5">
        <v>0.755</v>
      </c>
    </row>
    <row r="2670" spans="2:6" x14ac:dyDescent="0.2">
      <c r="B2670" s="9" t="s">
        <v>9771</v>
      </c>
      <c r="C2670" s="15" t="s">
        <v>9772</v>
      </c>
      <c r="D2670" s="12" t="str">
        <f>"0308-5694"</f>
        <v>0308-5694</v>
      </c>
      <c r="E2670" s="5">
        <v>0.47799999999999998</v>
      </c>
      <c r="F2670" s="5">
        <v>0.376</v>
      </c>
    </row>
    <row r="2671" spans="2:6" x14ac:dyDescent="0.2">
      <c r="B2671" s="9" t="s">
        <v>9773</v>
      </c>
      <c r="C2671" s="15" t="s">
        <v>9774</v>
      </c>
      <c r="D2671" s="12" t="str">
        <f>"1742-4933"</f>
        <v>1742-4933</v>
      </c>
      <c r="E2671" s="5">
        <v>6.4</v>
      </c>
      <c r="F2671" s="5">
        <v>0.88700000000000001</v>
      </c>
    </row>
    <row r="2672" spans="2:6" x14ac:dyDescent="0.2">
      <c r="B2672" s="9" t="s">
        <v>9775</v>
      </c>
      <c r="C2672" s="15" t="s">
        <v>9776</v>
      </c>
      <c r="D2672" s="12" t="str">
        <f>"1598-2629"</f>
        <v>1598-2629</v>
      </c>
      <c r="E2672" s="5">
        <v>6.3029999999999999</v>
      </c>
      <c r="F2672" s="5">
        <v>0.753</v>
      </c>
    </row>
    <row r="2673" spans="2:6" x14ac:dyDescent="0.2">
      <c r="B2673" s="9" t="s">
        <v>6850</v>
      </c>
      <c r="C2673" s="15" t="s">
        <v>6850</v>
      </c>
      <c r="D2673" s="12" t="str">
        <f>"1074-7613"</f>
        <v>1074-7613</v>
      </c>
      <c r="E2673" s="5">
        <v>31.745000000000001</v>
      </c>
      <c r="F2673" s="5">
        <v>0.99399999999999999</v>
      </c>
    </row>
    <row r="2674" spans="2:6" ht="25.5" x14ac:dyDescent="0.2">
      <c r="B2674" s="9" t="s">
        <v>9777</v>
      </c>
      <c r="C2674" s="15" t="s">
        <v>9777</v>
      </c>
      <c r="D2674" s="12" t="str">
        <f>"2050-4527"</f>
        <v>2050-4527</v>
      </c>
      <c r="E2674" s="5">
        <v>2.2389999999999999</v>
      </c>
      <c r="F2674" s="5">
        <v>0.14799999999999999</v>
      </c>
    </row>
    <row r="2675" spans="2:6" x14ac:dyDescent="0.2">
      <c r="B2675" s="9" t="s">
        <v>6851</v>
      </c>
      <c r="C2675" s="15" t="s">
        <v>6851</v>
      </c>
      <c r="D2675" s="12" t="str">
        <f>"0171-2985"</f>
        <v>0171-2985</v>
      </c>
      <c r="E2675" s="5">
        <v>3.1440000000000001</v>
      </c>
      <c r="F2675" s="5">
        <v>0.309</v>
      </c>
    </row>
    <row r="2676" spans="2:6" x14ac:dyDescent="0.2">
      <c r="B2676" s="9" t="s">
        <v>6852</v>
      </c>
      <c r="C2676" s="15" t="s">
        <v>6852</v>
      </c>
      <c r="D2676" s="12" t="str">
        <f>"0093-7711"</f>
        <v>0093-7711</v>
      </c>
      <c r="E2676" s="5">
        <v>2.8460000000000001</v>
      </c>
      <c r="F2676" s="5">
        <v>0.42899999999999999</v>
      </c>
    </row>
    <row r="2677" spans="2:6" x14ac:dyDescent="0.2">
      <c r="B2677" s="9" t="s">
        <v>6853</v>
      </c>
      <c r="C2677" s="15" t="s">
        <v>4346</v>
      </c>
      <c r="D2677" s="12" t="str">
        <f>"0889-8561"</f>
        <v>0889-8561</v>
      </c>
      <c r="E2677" s="5">
        <v>3.4790000000000001</v>
      </c>
      <c r="F2677" s="5">
        <v>0.46400000000000002</v>
      </c>
    </row>
    <row r="2678" spans="2:6" x14ac:dyDescent="0.2">
      <c r="B2678" s="9" t="s">
        <v>6854</v>
      </c>
      <c r="C2678" s="15" t="s">
        <v>4347</v>
      </c>
      <c r="D2678" s="12" t="str">
        <f>"0818-9641"</f>
        <v>0818-9641</v>
      </c>
      <c r="E2678" s="5">
        <v>5.1260000000000003</v>
      </c>
      <c r="F2678" s="5">
        <v>0.65400000000000003</v>
      </c>
    </row>
    <row r="2679" spans="2:6" x14ac:dyDescent="0.2">
      <c r="B2679" s="9" t="s">
        <v>6855</v>
      </c>
      <c r="C2679" s="15" t="s">
        <v>4348</v>
      </c>
      <c r="D2679" s="12" t="str">
        <f>"0882-0139"</f>
        <v>0882-0139</v>
      </c>
      <c r="E2679" s="5">
        <v>3.657</v>
      </c>
      <c r="F2679" s="5">
        <v>0.40100000000000002</v>
      </c>
    </row>
    <row r="2680" spans="2:6" x14ac:dyDescent="0.2">
      <c r="B2680" s="9" t="s">
        <v>6856</v>
      </c>
      <c r="C2680" s="15" t="s">
        <v>4349</v>
      </c>
      <c r="D2680" s="12" t="str">
        <f>"0165-2478"</f>
        <v>0165-2478</v>
      </c>
      <c r="E2680" s="5">
        <v>3.6850000000000001</v>
      </c>
      <c r="F2680" s="5">
        <v>0.40699999999999997</v>
      </c>
    </row>
    <row r="2681" spans="2:6" x14ac:dyDescent="0.2">
      <c r="B2681" s="9" t="s">
        <v>5679</v>
      </c>
      <c r="C2681" s="15" t="s">
        <v>5679</v>
      </c>
      <c r="D2681" s="12" t="str">
        <f>"0019-2805"</f>
        <v>0019-2805</v>
      </c>
      <c r="E2681" s="5">
        <v>7.3970000000000002</v>
      </c>
      <c r="F2681" s="5">
        <v>0.84599999999999997</v>
      </c>
    </row>
    <row r="2682" spans="2:6" x14ac:dyDescent="0.2">
      <c r="B2682" s="9" t="s">
        <v>6857</v>
      </c>
      <c r="C2682" s="15" t="s">
        <v>4350</v>
      </c>
      <c r="D2682" s="12" t="str">
        <f>"0257-277X"</f>
        <v>0257-277X</v>
      </c>
      <c r="E2682" s="5">
        <v>2.8290000000000002</v>
      </c>
      <c r="F2682" s="5">
        <v>0.25900000000000001</v>
      </c>
    </row>
    <row r="2683" spans="2:6" x14ac:dyDescent="0.2">
      <c r="B2683" s="9" t="s">
        <v>6858</v>
      </c>
      <c r="C2683" s="15" t="s">
        <v>4351</v>
      </c>
      <c r="D2683" s="12" t="str">
        <f>"0105-2896"</f>
        <v>0105-2896</v>
      </c>
      <c r="E2683" s="5">
        <v>12.988</v>
      </c>
      <c r="F2683" s="5">
        <v>0.94399999999999995</v>
      </c>
    </row>
    <row r="2684" spans="2:6" x14ac:dyDescent="0.2">
      <c r="B2684" s="9" t="s">
        <v>6859</v>
      </c>
      <c r="C2684" s="15" t="s">
        <v>4352</v>
      </c>
      <c r="D2684" s="12" t="str">
        <f>"0892-3973"</f>
        <v>0892-3973</v>
      </c>
      <c r="E2684" s="5">
        <v>2.73</v>
      </c>
      <c r="F2684" s="5">
        <v>0.34899999999999998</v>
      </c>
    </row>
    <row r="2685" spans="2:6" x14ac:dyDescent="0.2">
      <c r="B2685" s="9" t="s">
        <v>9778</v>
      </c>
      <c r="C2685" s="15" t="s">
        <v>9779</v>
      </c>
      <c r="D2685" s="12" t="str">
        <f>"1750-7448"</f>
        <v>1750-7448</v>
      </c>
      <c r="E2685" s="5">
        <v>4.1959999999999997</v>
      </c>
      <c r="F2685" s="5">
        <v>0.49399999999999999</v>
      </c>
    </row>
    <row r="2686" spans="2:6" x14ac:dyDescent="0.2">
      <c r="B2686" s="9" t="s">
        <v>1302</v>
      </c>
      <c r="C2686" s="15" t="s">
        <v>1303</v>
      </c>
      <c r="D2686" s="12" t="str">
        <f>"1056-6163"</f>
        <v>1056-6163</v>
      </c>
      <c r="E2686" s="5">
        <v>2.4540000000000002</v>
      </c>
      <c r="F2686" s="5">
        <v>0.495</v>
      </c>
    </row>
    <row r="2687" spans="2:6" x14ac:dyDescent="0.2">
      <c r="B2687" s="9" t="s">
        <v>9780</v>
      </c>
      <c r="C2687" s="15" t="s">
        <v>9781</v>
      </c>
      <c r="D2687" s="12" t="str">
        <f>"0943-9692"</f>
        <v>0943-9692</v>
      </c>
      <c r="E2687" s="5">
        <v>0.125</v>
      </c>
      <c r="F2687" s="5">
        <v>1.0999999999999999E-2</v>
      </c>
    </row>
    <row r="2688" spans="2:6" x14ac:dyDescent="0.2">
      <c r="B2688" s="9" t="s">
        <v>1304</v>
      </c>
      <c r="C2688" s="15" t="s">
        <v>1305</v>
      </c>
      <c r="D2688" s="12" t="str">
        <f>"1748-5908"</f>
        <v>1748-5908</v>
      </c>
      <c r="E2688" s="5">
        <v>7.327</v>
      </c>
      <c r="F2688" s="5">
        <v>1</v>
      </c>
    </row>
    <row r="2689" spans="2:6" x14ac:dyDescent="0.2">
      <c r="B2689" s="9" t="s">
        <v>6112</v>
      </c>
      <c r="C2689" s="15" t="s">
        <v>4355</v>
      </c>
      <c r="D2689" s="12" t="str">
        <f>"0019-8366"</f>
        <v>0019-8366</v>
      </c>
      <c r="E2689" s="5">
        <v>2.1789999999999998</v>
      </c>
      <c r="F2689" s="5">
        <v>0.40600000000000003</v>
      </c>
    </row>
    <row r="2690" spans="2:6" x14ac:dyDescent="0.2">
      <c r="B2690" s="9" t="s">
        <v>6114</v>
      </c>
      <c r="C2690" s="15" t="s">
        <v>4357</v>
      </c>
      <c r="D2690" s="12" t="str">
        <f>"0301-1208"</f>
        <v>0301-1208</v>
      </c>
      <c r="E2690" s="5">
        <v>1.9179999999999999</v>
      </c>
      <c r="F2690" s="5">
        <v>0.19700000000000001</v>
      </c>
    </row>
    <row r="2691" spans="2:6" x14ac:dyDescent="0.2">
      <c r="B2691" s="9" t="s">
        <v>9782</v>
      </c>
      <c r="C2691" s="15" t="s">
        <v>9783</v>
      </c>
      <c r="D2691" s="12" t="str">
        <f>"0972-5849"</f>
        <v>0972-5849</v>
      </c>
      <c r="E2691" s="5">
        <v>0.41399999999999998</v>
      </c>
      <c r="F2691" s="5">
        <v>1.9E-2</v>
      </c>
    </row>
    <row r="2692" spans="2:6" x14ac:dyDescent="0.2">
      <c r="B2692" s="9" t="s">
        <v>9784</v>
      </c>
      <c r="C2692" s="15" t="s">
        <v>9785</v>
      </c>
      <c r="D2692" s="12" t="str">
        <f>"0019-509X"</f>
        <v>0019-509X</v>
      </c>
      <c r="E2692" s="5">
        <v>1.224</v>
      </c>
      <c r="F2692" s="5">
        <v>3.6999999999999998E-2</v>
      </c>
    </row>
    <row r="2693" spans="2:6" ht="25.5" x14ac:dyDescent="0.2">
      <c r="B2693" s="9" t="s">
        <v>1308</v>
      </c>
      <c r="C2693" s="15" t="s">
        <v>1309</v>
      </c>
      <c r="D2693" s="12" t="str">
        <f>"0376-4710"</f>
        <v>0376-4710</v>
      </c>
      <c r="E2693" s="5">
        <v>0.49099999999999999</v>
      </c>
      <c r="F2693" s="5">
        <v>5.6000000000000001E-2</v>
      </c>
    </row>
    <row r="2694" spans="2:6" ht="25.5" x14ac:dyDescent="0.2">
      <c r="B2694" s="9" t="s">
        <v>6115</v>
      </c>
      <c r="C2694" s="15" t="s">
        <v>9786</v>
      </c>
      <c r="D2694" s="12" t="str">
        <f>"0376-4699"</f>
        <v>0376-4699</v>
      </c>
      <c r="E2694" s="5">
        <v>0.59199999999999997</v>
      </c>
      <c r="F2694" s="5">
        <v>5.2999999999999999E-2</v>
      </c>
    </row>
    <row r="2695" spans="2:6" x14ac:dyDescent="0.2">
      <c r="B2695" s="9" t="s">
        <v>9787</v>
      </c>
      <c r="C2695" s="15" t="s">
        <v>9788</v>
      </c>
      <c r="D2695" s="12" t="str">
        <f>"0019-5154"</f>
        <v>0019-5154</v>
      </c>
      <c r="E2695" s="5">
        <v>1.494</v>
      </c>
      <c r="F2695" s="5">
        <v>0.14699999999999999</v>
      </c>
    </row>
    <row r="2696" spans="2:6" x14ac:dyDescent="0.2">
      <c r="B2696" s="9" t="s">
        <v>1310</v>
      </c>
      <c r="C2696" s="15" t="s">
        <v>1311</v>
      </c>
      <c r="D2696" s="12" t="str">
        <f>"0378-6323"</f>
        <v>0378-6323</v>
      </c>
      <c r="E2696" s="5">
        <v>2.5449999999999999</v>
      </c>
      <c r="F2696" s="5">
        <v>0.42599999999999999</v>
      </c>
    </row>
    <row r="2697" spans="2:6" x14ac:dyDescent="0.2">
      <c r="B2697" s="9" t="s">
        <v>1312</v>
      </c>
      <c r="C2697" s="15" t="s">
        <v>1313</v>
      </c>
      <c r="D2697" s="12" t="str">
        <f>"0019-5189"</f>
        <v>0019-5189</v>
      </c>
      <c r="E2697" s="5">
        <v>0.81799999999999995</v>
      </c>
      <c r="F2697" s="5">
        <v>0.14000000000000001</v>
      </c>
    </row>
    <row r="2698" spans="2:6" x14ac:dyDescent="0.2">
      <c r="B2698" s="9" t="s">
        <v>1314</v>
      </c>
      <c r="C2698" s="15" t="s">
        <v>1315</v>
      </c>
      <c r="D2698" s="12" t="str">
        <f>"0971-5215"</f>
        <v>0971-5215</v>
      </c>
      <c r="E2698" s="5">
        <v>0.34100000000000003</v>
      </c>
      <c r="F2698" s="5">
        <v>6.8000000000000005E-2</v>
      </c>
    </row>
    <row r="2699" spans="2:6" x14ac:dyDescent="0.2">
      <c r="B2699" s="9" t="s">
        <v>9789</v>
      </c>
      <c r="C2699" s="15" t="s">
        <v>9790</v>
      </c>
      <c r="D2699" s="12" t="str">
        <f>"0971-4502"</f>
        <v>0971-4502</v>
      </c>
      <c r="E2699" s="5">
        <v>0.9</v>
      </c>
      <c r="F2699" s="5">
        <v>5.2999999999999999E-2</v>
      </c>
    </row>
    <row r="2700" spans="2:6" x14ac:dyDescent="0.2">
      <c r="B2700" s="9" t="s">
        <v>6116</v>
      </c>
      <c r="C2700" s="15" t="s">
        <v>4358</v>
      </c>
      <c r="D2700" s="12" t="str">
        <f>"0971-1627"</f>
        <v>0971-1627</v>
      </c>
      <c r="E2700" s="5">
        <v>0.33900000000000002</v>
      </c>
      <c r="F2700" s="5">
        <v>3.5000000000000003E-2</v>
      </c>
    </row>
    <row r="2701" spans="2:6" x14ac:dyDescent="0.2">
      <c r="B2701" s="9" t="s">
        <v>9791</v>
      </c>
      <c r="C2701" s="15" t="s">
        <v>9792</v>
      </c>
      <c r="D2701" s="12" t="str">
        <f>"0255-0857"</f>
        <v>0255-0857</v>
      </c>
      <c r="E2701" s="5">
        <v>0.98499999999999999</v>
      </c>
      <c r="F2701" s="5">
        <v>1.2E-2</v>
      </c>
    </row>
    <row r="2702" spans="2:6" x14ac:dyDescent="0.2">
      <c r="B2702" s="9" t="s">
        <v>6117</v>
      </c>
      <c r="C2702" s="15" t="s">
        <v>4359</v>
      </c>
      <c r="D2702" s="12" t="str">
        <f>"0971-5916"</f>
        <v>0971-5916</v>
      </c>
      <c r="E2702" s="5">
        <v>2.375</v>
      </c>
      <c r="F2702" s="5">
        <v>0.497</v>
      </c>
    </row>
    <row r="2703" spans="2:6" x14ac:dyDescent="0.2">
      <c r="B2703" s="9" t="s">
        <v>9793</v>
      </c>
      <c r="C2703" s="15" t="s">
        <v>9794</v>
      </c>
      <c r="D2703" s="12" t="str">
        <f>"0046-8991"</f>
        <v>0046-8991</v>
      </c>
      <c r="E2703" s="5">
        <v>2.4609999999999999</v>
      </c>
      <c r="F2703" s="5">
        <v>0.32900000000000001</v>
      </c>
    </row>
    <row r="2704" spans="2:6" x14ac:dyDescent="0.2">
      <c r="B2704" s="9" t="s">
        <v>9795</v>
      </c>
      <c r="C2704" s="15" t="s">
        <v>9796</v>
      </c>
      <c r="D2704" s="12" t="str">
        <f>"0301-4738"</f>
        <v>0301-4738</v>
      </c>
      <c r="E2704" s="5">
        <v>1.8480000000000001</v>
      </c>
      <c r="F2704" s="5">
        <v>0.24199999999999999</v>
      </c>
    </row>
    <row r="2705" spans="2:6" x14ac:dyDescent="0.2">
      <c r="B2705" s="9" t="s">
        <v>9797</v>
      </c>
      <c r="C2705" s="15" t="s">
        <v>9798</v>
      </c>
      <c r="D2705" s="12" t="str">
        <f>"0019-5413"</f>
        <v>0019-5413</v>
      </c>
      <c r="E2705" s="5">
        <v>1.2509999999999999</v>
      </c>
      <c r="F2705" s="5">
        <v>0.185</v>
      </c>
    </row>
    <row r="2706" spans="2:6" x14ac:dyDescent="0.2">
      <c r="B2706" s="9" t="s">
        <v>9799</v>
      </c>
      <c r="C2706" s="15" t="s">
        <v>9800</v>
      </c>
      <c r="D2706" s="12" t="str">
        <f>"0377-4929"</f>
        <v>0377-4929</v>
      </c>
      <c r="E2706" s="5">
        <v>0.74</v>
      </c>
      <c r="F2706" s="5">
        <v>7.8E-2</v>
      </c>
    </row>
    <row r="2707" spans="2:6" x14ac:dyDescent="0.2">
      <c r="B2707" s="9" t="s">
        <v>1316</v>
      </c>
      <c r="C2707" s="15" t="s">
        <v>1317</v>
      </c>
      <c r="D2707" s="12" t="str">
        <f>"0019-5456"</f>
        <v>0019-5456</v>
      </c>
      <c r="E2707" s="5">
        <v>1.9670000000000001</v>
      </c>
      <c r="F2707" s="5">
        <v>0.40300000000000002</v>
      </c>
    </row>
    <row r="2708" spans="2:6" x14ac:dyDescent="0.2">
      <c r="B2708" s="9" t="s">
        <v>1320</v>
      </c>
      <c r="C2708" s="15" t="s">
        <v>1321</v>
      </c>
      <c r="D2708" s="12" t="str">
        <f>"0253-7613"</f>
        <v>0253-7613</v>
      </c>
      <c r="E2708" s="5">
        <v>1.2</v>
      </c>
      <c r="F2708" s="5">
        <v>8.4000000000000005E-2</v>
      </c>
    </row>
    <row r="2709" spans="2:6" x14ac:dyDescent="0.2">
      <c r="B2709" s="9" t="s">
        <v>1318</v>
      </c>
      <c r="C2709" s="15" t="s">
        <v>1319</v>
      </c>
      <c r="D2709" s="12" t="str">
        <f>"0019-5464"</f>
        <v>0019-5464</v>
      </c>
      <c r="E2709" s="5">
        <v>0.68600000000000005</v>
      </c>
      <c r="F2709" s="5">
        <v>4.7E-2</v>
      </c>
    </row>
    <row r="2710" spans="2:6" x14ac:dyDescent="0.2">
      <c r="B2710" s="9" t="s">
        <v>9801</v>
      </c>
      <c r="C2710" s="15" t="s">
        <v>9802</v>
      </c>
      <c r="D2710" s="12" t="str">
        <f>"0250-474X"</f>
        <v>0250-474X</v>
      </c>
      <c r="E2710" s="5">
        <v>0.97499999999999998</v>
      </c>
      <c r="F2710" s="5">
        <v>6.2E-2</v>
      </c>
    </row>
    <row r="2711" spans="2:6" x14ac:dyDescent="0.2">
      <c r="B2711" s="9" t="s">
        <v>9803</v>
      </c>
      <c r="C2711" s="15" t="s">
        <v>9804</v>
      </c>
      <c r="D2711" s="12" t="str">
        <f>"0019-5545"</f>
        <v>0019-5545</v>
      </c>
      <c r="E2711" s="5">
        <v>1.7589999999999999</v>
      </c>
      <c r="F2711" s="5">
        <v>0.23100000000000001</v>
      </c>
    </row>
    <row r="2712" spans="2:6" x14ac:dyDescent="0.2">
      <c r="B2712" s="9" t="s">
        <v>9805</v>
      </c>
      <c r="C2712" s="15" t="s">
        <v>9806</v>
      </c>
      <c r="D2712" s="12" t="str">
        <f>"0972-2068"</f>
        <v>0972-2068</v>
      </c>
      <c r="E2712" s="5">
        <v>0.65600000000000003</v>
      </c>
      <c r="F2712" s="5">
        <v>3.7999999999999999E-2</v>
      </c>
    </row>
    <row r="2713" spans="2:6" x14ac:dyDescent="0.2">
      <c r="B2713" s="9" t="s">
        <v>1322</v>
      </c>
      <c r="C2713" s="15" t="s">
        <v>1323</v>
      </c>
      <c r="D2713" s="12" t="str">
        <f>"0019-6061"</f>
        <v>0019-6061</v>
      </c>
      <c r="E2713" s="5">
        <v>1.411</v>
      </c>
      <c r="F2713" s="5">
        <v>0.20200000000000001</v>
      </c>
    </row>
    <row r="2714" spans="2:6" x14ac:dyDescent="0.2">
      <c r="B2714" s="9" t="s">
        <v>6113</v>
      </c>
      <c r="C2714" s="15" t="s">
        <v>4356</v>
      </c>
      <c r="D2714" s="12" t="str">
        <f>"0036-8792"</f>
        <v>0036-8792</v>
      </c>
      <c r="E2714" s="5">
        <v>1.2969999999999999</v>
      </c>
      <c r="F2714" s="5">
        <v>0.19500000000000001</v>
      </c>
    </row>
    <row r="2715" spans="2:6" x14ac:dyDescent="0.2">
      <c r="B2715" s="9" t="s">
        <v>1306</v>
      </c>
      <c r="C2715" s="15" t="s">
        <v>1307</v>
      </c>
      <c r="D2715" s="12" t="str">
        <f>"0263-5577"</f>
        <v>0263-5577</v>
      </c>
      <c r="E2715" s="5">
        <v>4.2240000000000002</v>
      </c>
      <c r="F2715" s="5">
        <v>0.69399999999999995</v>
      </c>
    </row>
    <row r="2716" spans="2:6" x14ac:dyDescent="0.2">
      <c r="B2716" s="9" t="s">
        <v>9807</v>
      </c>
      <c r="C2716" s="15" t="s">
        <v>9807</v>
      </c>
      <c r="D2716" s="12" t="str">
        <f>"0905-6947"</f>
        <v>0905-6947</v>
      </c>
      <c r="E2716" s="5">
        <v>5.77</v>
      </c>
      <c r="F2716" s="5">
        <v>0.91500000000000004</v>
      </c>
    </row>
    <row r="2717" spans="2:6" x14ac:dyDescent="0.2">
      <c r="B2717" s="9" t="s">
        <v>6118</v>
      </c>
      <c r="C2717" s="15" t="s">
        <v>4360</v>
      </c>
      <c r="D2717" s="12" t="str">
        <f>"1420-326X"</f>
        <v>1420-326X</v>
      </c>
      <c r="E2717" s="5">
        <v>3.0150000000000001</v>
      </c>
      <c r="F2717" s="5">
        <v>0.64200000000000002</v>
      </c>
    </row>
    <row r="2718" spans="2:6" x14ac:dyDescent="0.2">
      <c r="B2718" s="9" t="s">
        <v>9808</v>
      </c>
      <c r="C2718" s="15" t="s">
        <v>9809</v>
      </c>
      <c r="D2718" s="12" t="str">
        <f>"1754-9426"</f>
        <v>1754-9426</v>
      </c>
      <c r="E2718" s="5">
        <v>7.2350000000000003</v>
      </c>
      <c r="F2718" s="5">
        <v>0.90400000000000003</v>
      </c>
    </row>
    <row r="2719" spans="2:6" x14ac:dyDescent="0.2">
      <c r="B2719" s="9" t="s">
        <v>9810</v>
      </c>
      <c r="C2719" s="15" t="s">
        <v>9811</v>
      </c>
      <c r="D2719" s="12" t="str">
        <f>"N/A"</f>
        <v>N/A</v>
      </c>
      <c r="E2719" s="5">
        <v>0.85399999999999998</v>
      </c>
      <c r="F2719" s="5">
        <v>0.128</v>
      </c>
    </row>
    <row r="2720" spans="2:6" x14ac:dyDescent="0.2">
      <c r="B2720" s="9" t="s">
        <v>1324</v>
      </c>
      <c r="C2720" s="15" t="s">
        <v>1324</v>
      </c>
      <c r="D2720" s="12" t="str">
        <f>"1525-0008"</f>
        <v>1525-0008</v>
      </c>
      <c r="E2720" s="5">
        <v>2.052</v>
      </c>
      <c r="F2720" s="5">
        <v>0.28599999999999998</v>
      </c>
    </row>
    <row r="2721" spans="2:6" x14ac:dyDescent="0.2">
      <c r="B2721" s="9" t="s">
        <v>1325</v>
      </c>
      <c r="C2721" s="15" t="s">
        <v>1326</v>
      </c>
      <c r="D2721" s="12" t="str">
        <f>"0163-6383"</f>
        <v>0163-6383</v>
      </c>
      <c r="E2721" s="5">
        <v>2.3290000000000002</v>
      </c>
      <c r="F2721" s="5">
        <v>0.442</v>
      </c>
    </row>
    <row r="2722" spans="2:6" x14ac:dyDescent="0.2">
      <c r="B2722" s="9" t="s">
        <v>1327</v>
      </c>
      <c r="C2722" s="15" t="s">
        <v>1328</v>
      </c>
      <c r="D2722" s="12" t="str">
        <f>"1522-7219"</f>
        <v>1522-7219</v>
      </c>
      <c r="E2722" s="5">
        <v>1.615</v>
      </c>
      <c r="F2722" s="5">
        <v>0.20799999999999999</v>
      </c>
    </row>
    <row r="2723" spans="2:6" x14ac:dyDescent="0.2">
      <c r="B2723" s="9" t="s">
        <v>1329</v>
      </c>
      <c r="C2723" s="15" t="s">
        <v>1330</v>
      </c>
      <c r="D2723" s="12" t="str">
        <f>"0163-9641"</f>
        <v>0163-9641</v>
      </c>
      <c r="E2723" s="5">
        <v>1.7929999999999999</v>
      </c>
      <c r="F2723" s="5">
        <v>0.23400000000000001</v>
      </c>
    </row>
    <row r="2724" spans="2:6" x14ac:dyDescent="0.2">
      <c r="B2724" s="9" t="s">
        <v>1331</v>
      </c>
      <c r="C2724" s="15" t="s">
        <v>9812</v>
      </c>
      <c r="D2724" s="12" t="str">
        <f>"0896-3746"</f>
        <v>0896-3746</v>
      </c>
      <c r="E2724" s="5">
        <v>1.4750000000000001</v>
      </c>
      <c r="F2724" s="5">
        <v>0.20499999999999999</v>
      </c>
    </row>
    <row r="2725" spans="2:6" x14ac:dyDescent="0.2">
      <c r="B2725" s="9" t="s">
        <v>9813</v>
      </c>
      <c r="C2725" s="15" t="s">
        <v>9814</v>
      </c>
      <c r="D2725" s="12" t="str">
        <f>"1750-9378"</f>
        <v>1750-9378</v>
      </c>
      <c r="E2725" s="5">
        <v>2.9649999999999999</v>
      </c>
      <c r="F2725" s="5">
        <v>0.28399999999999997</v>
      </c>
    </row>
    <row r="2726" spans="2:6" x14ac:dyDescent="0.2">
      <c r="B2726" s="9" t="s">
        <v>6119</v>
      </c>
      <c r="C2726" s="15" t="s">
        <v>4361</v>
      </c>
      <c r="D2726" s="12" t="str">
        <f>"0899-823X"</f>
        <v>0899-823X</v>
      </c>
      <c r="E2726" s="5">
        <v>3.254</v>
      </c>
      <c r="F2726" s="5">
        <v>0.7</v>
      </c>
    </row>
    <row r="2727" spans="2:6" x14ac:dyDescent="0.2">
      <c r="B2727" s="9" t="s">
        <v>6120</v>
      </c>
      <c r="C2727" s="15" t="s">
        <v>4362</v>
      </c>
      <c r="D2727" s="12" t="str">
        <f>"1557-9824"</f>
        <v>1557-9824</v>
      </c>
      <c r="E2727" s="5">
        <v>5.9820000000000002</v>
      </c>
      <c r="F2727" s="5">
        <v>0.89100000000000001</v>
      </c>
    </row>
    <row r="2728" spans="2:6" x14ac:dyDescent="0.2">
      <c r="B2728" s="9" t="s">
        <v>9815</v>
      </c>
      <c r="C2728" s="15" t="s">
        <v>9816</v>
      </c>
      <c r="D2728" s="12" t="str">
        <f>"2374-4235"</f>
        <v>2374-4235</v>
      </c>
      <c r="E2728" s="5">
        <v>3.4039999999999999</v>
      </c>
      <c r="F2728" s="5">
        <v>0.46700000000000003</v>
      </c>
    </row>
    <row r="2729" spans="2:6" x14ac:dyDescent="0.2">
      <c r="B2729" s="9" t="s">
        <v>9817</v>
      </c>
      <c r="C2729" s="15" t="s">
        <v>9818</v>
      </c>
      <c r="D2729" s="12" t="str">
        <f>"2095-5162"</f>
        <v>2095-5162</v>
      </c>
      <c r="E2729" s="5">
        <v>4.5199999999999996</v>
      </c>
      <c r="F2729" s="5">
        <v>1</v>
      </c>
    </row>
    <row r="2730" spans="2:6" x14ac:dyDescent="0.2">
      <c r="B2730" s="9" t="s">
        <v>9819</v>
      </c>
      <c r="C2730" s="15" t="s">
        <v>9820</v>
      </c>
      <c r="D2730" s="12" t="str">
        <f>"2193-8229"</f>
        <v>2193-8229</v>
      </c>
      <c r="E2730" s="5">
        <v>5.3220000000000001</v>
      </c>
      <c r="F2730" s="5">
        <v>0.83699999999999997</v>
      </c>
    </row>
    <row r="2731" spans="2:6" x14ac:dyDescent="0.2">
      <c r="B2731" s="9" t="s">
        <v>9821</v>
      </c>
      <c r="C2731" s="15" t="s">
        <v>9822</v>
      </c>
      <c r="D2731" s="12" t="str">
        <f>"1178-6973"</f>
        <v>1178-6973</v>
      </c>
      <c r="E2731" s="5">
        <v>4.0030000000000001</v>
      </c>
      <c r="F2731" s="5">
        <v>0.63</v>
      </c>
    </row>
    <row r="2732" spans="2:6" x14ac:dyDescent="0.2">
      <c r="B2732" s="9" t="s">
        <v>1332</v>
      </c>
      <c r="C2732" s="15" t="s">
        <v>1333</v>
      </c>
      <c r="D2732" s="12" t="str">
        <f>"1567-1348"</f>
        <v>1567-1348</v>
      </c>
      <c r="E2732" s="5">
        <v>3.3420000000000001</v>
      </c>
      <c r="F2732" s="5">
        <v>0.45700000000000002</v>
      </c>
    </row>
    <row r="2733" spans="2:6" x14ac:dyDescent="0.2">
      <c r="B2733" s="9" t="s">
        <v>6121</v>
      </c>
      <c r="C2733" s="15" t="s">
        <v>4363</v>
      </c>
      <c r="D2733" s="12" t="str">
        <f>"0019-9567"</f>
        <v>0019-9567</v>
      </c>
      <c r="E2733" s="5">
        <v>3.4409999999999998</v>
      </c>
      <c r="F2733" s="5">
        <v>0.48899999999999999</v>
      </c>
    </row>
    <row r="2734" spans="2:6" x14ac:dyDescent="0.2">
      <c r="B2734" s="9" t="s">
        <v>6122</v>
      </c>
      <c r="C2734" s="15" t="s">
        <v>6122</v>
      </c>
      <c r="D2734" s="12" t="str">
        <f>"0300-8126"</f>
        <v>0300-8126</v>
      </c>
      <c r="E2734" s="5">
        <v>3.5529999999999999</v>
      </c>
      <c r="F2734" s="5">
        <v>0.51100000000000001</v>
      </c>
    </row>
    <row r="2735" spans="2:6" x14ac:dyDescent="0.2">
      <c r="B2735" s="9" t="s">
        <v>6123</v>
      </c>
      <c r="C2735" s="15" t="s">
        <v>4364</v>
      </c>
      <c r="D2735" s="12" t="str">
        <f>"0219-0257"</f>
        <v>0219-0257</v>
      </c>
      <c r="E2735" s="5">
        <v>0.79300000000000004</v>
      </c>
      <c r="F2735" s="5">
        <v>0.14299999999999999</v>
      </c>
    </row>
    <row r="2736" spans="2:6" x14ac:dyDescent="0.2">
      <c r="B2736" s="9" t="s">
        <v>6126</v>
      </c>
      <c r="C2736" s="15" t="s">
        <v>6126</v>
      </c>
      <c r="D2736" s="12" t="str">
        <f>"0360-3997"</f>
        <v>0360-3997</v>
      </c>
      <c r="E2736" s="5">
        <v>4.0919999999999996</v>
      </c>
      <c r="F2736" s="5">
        <v>0.48099999999999998</v>
      </c>
    </row>
    <row r="2737" spans="2:6" x14ac:dyDescent="0.2">
      <c r="B2737" s="9" t="s">
        <v>6124</v>
      </c>
      <c r="C2737" s="15" t="s">
        <v>4365</v>
      </c>
      <c r="D2737" s="12" t="str">
        <f>"1078-0998"</f>
        <v>1078-0998</v>
      </c>
      <c r="E2737" s="5">
        <v>5.3250000000000002</v>
      </c>
      <c r="F2737" s="5">
        <v>0.68500000000000005</v>
      </c>
    </row>
    <row r="2738" spans="2:6" x14ac:dyDescent="0.2">
      <c r="B2738" s="9" t="s">
        <v>9823</v>
      </c>
      <c r="C2738" s="15" t="s">
        <v>9823</v>
      </c>
      <c r="D2738" s="12" t="str">
        <f>"0925-4692"</f>
        <v>0925-4692</v>
      </c>
      <c r="E2738" s="5">
        <v>4.4729999999999999</v>
      </c>
      <c r="F2738" s="5">
        <v>0.76300000000000001</v>
      </c>
    </row>
    <row r="2739" spans="2:6" x14ac:dyDescent="0.2">
      <c r="B2739" s="9" t="s">
        <v>9824</v>
      </c>
      <c r="C2739" s="15" t="s">
        <v>9825</v>
      </c>
      <c r="D2739" s="12" t="str">
        <f>"1880-8190"</f>
        <v>1880-8190</v>
      </c>
      <c r="E2739" s="5">
        <v>7.3540000000000001</v>
      </c>
      <c r="F2739" s="5">
        <v>0.879</v>
      </c>
    </row>
    <row r="2740" spans="2:6" x14ac:dyDescent="0.2">
      <c r="B2740" s="9" t="s">
        <v>6125</v>
      </c>
      <c r="C2740" s="15" t="s">
        <v>4366</v>
      </c>
      <c r="D2740" s="12" t="str">
        <f>"1023-3830"</f>
        <v>1023-3830</v>
      </c>
      <c r="E2740" s="5">
        <v>4.5750000000000002</v>
      </c>
      <c r="F2740" s="5">
        <v>0.57999999999999996</v>
      </c>
    </row>
    <row r="2741" spans="2:6" x14ac:dyDescent="0.2">
      <c r="B2741" s="9" t="s">
        <v>1334</v>
      </c>
      <c r="C2741" s="15" t="s">
        <v>1335</v>
      </c>
      <c r="D2741" s="12" t="str">
        <f>"1750-2659"</f>
        <v>1750-2659</v>
      </c>
      <c r="E2741" s="5">
        <v>4.38</v>
      </c>
      <c r="F2741" s="5">
        <v>0.69399999999999995</v>
      </c>
    </row>
    <row r="2742" spans="2:6" x14ac:dyDescent="0.2">
      <c r="B2742" s="9" t="s">
        <v>9826</v>
      </c>
      <c r="C2742" s="15" t="s">
        <v>9827</v>
      </c>
      <c r="D2742" s="12" t="str">
        <f>"2164-8034"</f>
        <v>2164-8034</v>
      </c>
      <c r="E2742" s="5">
        <v>0.13300000000000001</v>
      </c>
      <c r="F2742" s="5">
        <v>3.5000000000000003E-2</v>
      </c>
    </row>
    <row r="2743" spans="2:6" x14ac:dyDescent="0.2">
      <c r="B2743" s="9" t="s">
        <v>9828</v>
      </c>
      <c r="C2743" s="15" t="s">
        <v>9829</v>
      </c>
      <c r="D2743" s="12" t="str">
        <f>"0266-6669"</f>
        <v>0266-6669</v>
      </c>
      <c r="E2743" s="5">
        <v>2.0489999999999999</v>
      </c>
      <c r="F2743" s="5">
        <v>0.47099999999999997</v>
      </c>
    </row>
    <row r="2744" spans="2:6" x14ac:dyDescent="0.2">
      <c r="B2744" s="9" t="s">
        <v>1336</v>
      </c>
      <c r="C2744" s="15" t="s">
        <v>1337</v>
      </c>
      <c r="D2744" s="12" t="str">
        <f>"1753-8157"</f>
        <v>1753-8157</v>
      </c>
      <c r="E2744" s="5">
        <v>2.4390000000000001</v>
      </c>
      <c r="F2744" s="5">
        <v>0.374</v>
      </c>
    </row>
    <row r="2745" spans="2:6" x14ac:dyDescent="0.2">
      <c r="B2745" s="9" t="s">
        <v>1338</v>
      </c>
      <c r="C2745" s="15" t="s">
        <v>1339</v>
      </c>
      <c r="D2745" s="12" t="str">
        <f>"0378-7206"</f>
        <v>0378-7206</v>
      </c>
      <c r="E2745" s="5">
        <v>7.5549999999999997</v>
      </c>
      <c r="F2745" s="5">
        <v>0.95299999999999996</v>
      </c>
    </row>
    <row r="2746" spans="2:6" x14ac:dyDescent="0.2">
      <c r="B2746" s="9" t="s">
        <v>9830</v>
      </c>
      <c r="C2746" s="15" t="s">
        <v>9831</v>
      </c>
      <c r="D2746" s="12" t="str">
        <f>"1471-7727"</f>
        <v>1471-7727</v>
      </c>
      <c r="E2746" s="5">
        <v>6.3</v>
      </c>
      <c r="F2746" s="5">
        <v>0.90600000000000003</v>
      </c>
    </row>
    <row r="2747" spans="2:6" x14ac:dyDescent="0.2">
      <c r="B2747" s="9" t="s">
        <v>1340</v>
      </c>
      <c r="C2747" s="15" t="s">
        <v>1341</v>
      </c>
      <c r="D2747" s="12" t="str">
        <f>"0306-4573"</f>
        <v>0306-4573</v>
      </c>
      <c r="E2747" s="5">
        <v>6.2220000000000004</v>
      </c>
      <c r="F2747" s="5">
        <v>0.89400000000000002</v>
      </c>
    </row>
    <row r="2748" spans="2:6" x14ac:dyDescent="0.2">
      <c r="B2748" s="9" t="s">
        <v>1342</v>
      </c>
      <c r="C2748" s="15" t="s">
        <v>1343</v>
      </c>
      <c r="D2748" s="12" t="str">
        <f>"1368-1613"</f>
        <v>1368-1613</v>
      </c>
      <c r="E2748" s="5">
        <v>0.78</v>
      </c>
      <c r="F2748" s="5">
        <v>0.21199999999999999</v>
      </c>
    </row>
    <row r="2749" spans="2:6" x14ac:dyDescent="0.2">
      <c r="B2749" s="9" t="s">
        <v>1352</v>
      </c>
      <c r="C2749" s="15" t="s">
        <v>1353</v>
      </c>
      <c r="D2749" s="12" t="str">
        <f>"1091-9856"</f>
        <v>1091-9856</v>
      </c>
      <c r="E2749" s="5">
        <v>2.2759999999999998</v>
      </c>
      <c r="F2749" s="5">
        <v>0.46400000000000002</v>
      </c>
    </row>
    <row r="2750" spans="2:6" x14ac:dyDescent="0.2">
      <c r="B2750" s="9" t="s">
        <v>1344</v>
      </c>
      <c r="C2750" s="15" t="s">
        <v>1345</v>
      </c>
      <c r="D2750" s="12" t="str">
        <f>"0197-2243"</f>
        <v>0197-2243</v>
      </c>
      <c r="E2750" s="5">
        <v>4.5709999999999997</v>
      </c>
      <c r="F2750" s="5">
        <v>0.85099999999999998</v>
      </c>
    </row>
    <row r="2751" spans="2:6" x14ac:dyDescent="0.2">
      <c r="B2751" s="9" t="s">
        <v>9832</v>
      </c>
      <c r="C2751" s="15" t="s">
        <v>9833</v>
      </c>
      <c r="D2751" s="12" t="str">
        <f>"0104-0146"</f>
        <v>0104-0146</v>
      </c>
      <c r="E2751" s="5">
        <v>0.311</v>
      </c>
      <c r="F2751" s="5">
        <v>9.4E-2</v>
      </c>
    </row>
    <row r="2752" spans="2:6" x14ac:dyDescent="0.2">
      <c r="B2752" s="9" t="s">
        <v>1346</v>
      </c>
      <c r="C2752" s="15" t="s">
        <v>1347</v>
      </c>
      <c r="D2752" s="12" t="str">
        <f>"1365-2575"</f>
        <v>1365-2575</v>
      </c>
      <c r="E2752" s="5">
        <v>7.4530000000000003</v>
      </c>
      <c r="F2752" s="5">
        <v>0.94099999999999995</v>
      </c>
    </row>
    <row r="2753" spans="2:6" x14ac:dyDescent="0.2">
      <c r="B2753" s="9" t="s">
        <v>1348</v>
      </c>
      <c r="C2753" s="15" t="s">
        <v>1349</v>
      </c>
      <c r="D2753" s="12" t="str">
        <f>"1047-7047"</f>
        <v>1047-7047</v>
      </c>
      <c r="E2753" s="5">
        <v>5.2069999999999999</v>
      </c>
      <c r="F2753" s="5">
        <v>0.83499999999999996</v>
      </c>
    </row>
    <row r="2754" spans="2:6" x14ac:dyDescent="0.2">
      <c r="B2754" s="9" t="s">
        <v>9834</v>
      </c>
      <c r="C2754" s="15" t="s">
        <v>9835</v>
      </c>
      <c r="D2754" s="12" t="str">
        <f>"0268-1102"</f>
        <v>0268-1102</v>
      </c>
      <c r="E2754" s="5">
        <v>4.25</v>
      </c>
      <c r="F2754" s="5">
        <v>0.78</v>
      </c>
    </row>
    <row r="2755" spans="2:6" x14ac:dyDescent="0.2">
      <c r="B2755" s="9" t="s">
        <v>1350</v>
      </c>
      <c r="C2755" s="15" t="s">
        <v>1351</v>
      </c>
      <c r="D2755" s="12" t="str">
        <f>"0730-9295"</f>
        <v>0730-9295</v>
      </c>
      <c r="E2755" s="5">
        <v>1.1599999999999999</v>
      </c>
      <c r="F2755" s="5">
        <v>0.28199999999999997</v>
      </c>
    </row>
    <row r="2756" spans="2:6" x14ac:dyDescent="0.2">
      <c r="B2756" s="9" t="s">
        <v>9836</v>
      </c>
      <c r="C2756" s="15" t="s">
        <v>9837</v>
      </c>
      <c r="D2756" s="12" t="str">
        <f>"1385-951X"</f>
        <v>1385-951X</v>
      </c>
      <c r="E2756" s="5">
        <v>1.5329999999999999</v>
      </c>
      <c r="F2756" s="5">
        <v>0.38800000000000001</v>
      </c>
    </row>
    <row r="2757" spans="2:6" x14ac:dyDescent="0.2">
      <c r="B2757" s="9" t="s">
        <v>9838</v>
      </c>
      <c r="C2757" s="15" t="s">
        <v>9839</v>
      </c>
      <c r="D2757" s="12" t="str">
        <f>"0959-3845"</f>
        <v>0959-3845</v>
      </c>
      <c r="E2757" s="5">
        <v>3.879</v>
      </c>
      <c r="F2757" s="5">
        <v>0.68200000000000005</v>
      </c>
    </row>
    <row r="2758" spans="2:6" x14ac:dyDescent="0.2">
      <c r="B2758" s="9" t="s">
        <v>6127</v>
      </c>
      <c r="C2758" s="15" t="s">
        <v>4367</v>
      </c>
      <c r="D2758" s="12" t="str">
        <f>"1350-4495"</f>
        <v>1350-4495</v>
      </c>
      <c r="E2758" s="5">
        <v>2.6379999999999999</v>
      </c>
      <c r="F2758" s="5">
        <v>0.64100000000000001</v>
      </c>
    </row>
    <row r="2759" spans="2:6" x14ac:dyDescent="0.2">
      <c r="B2759" s="9" t="s">
        <v>9840</v>
      </c>
      <c r="C2759" s="15" t="s">
        <v>9841</v>
      </c>
      <c r="D2759" s="12" t="str">
        <f>"1587-8694"</f>
        <v>1587-8694</v>
      </c>
      <c r="E2759" s="5">
        <v>0.16300000000000001</v>
      </c>
      <c r="F2759" s="5">
        <v>4.7E-2</v>
      </c>
    </row>
    <row r="2760" spans="2:6" x14ac:dyDescent="0.2">
      <c r="B2760" s="9" t="s">
        <v>6128</v>
      </c>
      <c r="C2760" s="15" t="s">
        <v>4368</v>
      </c>
      <c r="D2760" s="12" t="str">
        <f>"0895-8378"</f>
        <v>0895-8378</v>
      </c>
      <c r="E2760" s="5">
        <v>2.7240000000000002</v>
      </c>
      <c r="F2760" s="5">
        <v>0.25800000000000001</v>
      </c>
    </row>
    <row r="2761" spans="2:6" x14ac:dyDescent="0.2">
      <c r="B2761" s="9" t="s">
        <v>6129</v>
      </c>
      <c r="C2761" s="15" t="s">
        <v>4369</v>
      </c>
      <c r="D2761" s="12" t="str">
        <f>"0020-1383"</f>
        <v>0020-1383</v>
      </c>
      <c r="E2761" s="5">
        <v>2.5859999999999999</v>
      </c>
      <c r="F2761" s="5">
        <v>0.65600000000000003</v>
      </c>
    </row>
    <row r="2762" spans="2:6" x14ac:dyDescent="0.2">
      <c r="B2762" s="9" t="s">
        <v>6130</v>
      </c>
      <c r="C2762" s="15" t="s">
        <v>4370</v>
      </c>
      <c r="D2762" s="12" t="str">
        <f>"1353-8047"</f>
        <v>1353-8047</v>
      </c>
      <c r="E2762" s="5">
        <v>2.399</v>
      </c>
      <c r="F2762" s="5">
        <v>0.46800000000000003</v>
      </c>
    </row>
    <row r="2763" spans="2:6" x14ac:dyDescent="0.2">
      <c r="B2763" s="9" t="s">
        <v>9842</v>
      </c>
      <c r="C2763" s="15" t="s">
        <v>1354</v>
      </c>
      <c r="D2763" s="12" t="str">
        <f>"1753-4259"</f>
        <v>1753-4259</v>
      </c>
      <c r="E2763" s="5">
        <v>2.68</v>
      </c>
      <c r="F2763" s="5">
        <v>0.32100000000000001</v>
      </c>
    </row>
    <row r="2764" spans="2:6" x14ac:dyDescent="0.2">
      <c r="B2764" s="9" t="s">
        <v>6860</v>
      </c>
      <c r="C2764" s="15" t="s">
        <v>6860</v>
      </c>
      <c r="D2764" s="12" t="str">
        <f>"0263-841X"</f>
        <v>0263-841X</v>
      </c>
      <c r="E2764" s="5">
        <v>0.36799999999999999</v>
      </c>
      <c r="F2764" s="5">
        <v>9.6000000000000002E-2</v>
      </c>
    </row>
    <row r="2765" spans="2:6" ht="25.5" x14ac:dyDescent="0.2">
      <c r="B2765" s="9" t="s">
        <v>6131</v>
      </c>
      <c r="C2765" s="15" t="s">
        <v>4371</v>
      </c>
      <c r="D2765" s="12" t="str">
        <f>"0046-9580"</f>
        <v>0046-9580</v>
      </c>
      <c r="E2765" s="5">
        <v>1.73</v>
      </c>
      <c r="F2765" s="5">
        <v>0.193</v>
      </c>
    </row>
    <row r="2766" spans="2:6" x14ac:dyDescent="0.2">
      <c r="B2766" s="9" t="s">
        <v>9843</v>
      </c>
      <c r="C2766" s="15" t="s">
        <v>9844</v>
      </c>
      <c r="D2766" s="12" t="str">
        <f>"2273-774X"</f>
        <v>2273-774X</v>
      </c>
      <c r="E2766" s="5">
        <v>0.65500000000000003</v>
      </c>
      <c r="F2766" s="5">
        <v>0.22600000000000001</v>
      </c>
    </row>
    <row r="2767" spans="2:6" x14ac:dyDescent="0.2">
      <c r="B2767" s="9" t="s">
        <v>6132</v>
      </c>
      <c r="C2767" s="15" t="s">
        <v>4372</v>
      </c>
      <c r="D2767" s="12" t="str">
        <f>"0965-1748"</f>
        <v>0965-1748</v>
      </c>
      <c r="E2767" s="5">
        <v>4.7140000000000004</v>
      </c>
      <c r="F2767" s="5">
        <v>0.94099999999999995</v>
      </c>
    </row>
    <row r="2768" spans="2:6" x14ac:dyDescent="0.2">
      <c r="B2768" s="9" t="s">
        <v>6133</v>
      </c>
      <c r="C2768" s="15" t="s">
        <v>4373</v>
      </c>
      <c r="D2768" s="12" t="str">
        <f>"0962-1075"</f>
        <v>0962-1075</v>
      </c>
      <c r="E2768" s="5">
        <v>3.585</v>
      </c>
      <c r="F2768" s="5">
        <v>0.90200000000000002</v>
      </c>
    </row>
    <row r="2769" spans="2:6" x14ac:dyDescent="0.2">
      <c r="B2769" s="9" t="s">
        <v>9845</v>
      </c>
      <c r="C2769" s="15" t="s">
        <v>9846</v>
      </c>
      <c r="D2769" s="12" t="str">
        <f>"1869-4101"</f>
        <v>1869-4101</v>
      </c>
      <c r="E2769" s="5">
        <v>5.2309999999999999</v>
      </c>
      <c r="F2769" s="5">
        <v>0.84199999999999997</v>
      </c>
    </row>
    <row r="2770" spans="2:6" x14ac:dyDescent="0.2">
      <c r="B2770" s="9" t="s">
        <v>1355</v>
      </c>
      <c r="C2770" s="15" t="s">
        <v>1356</v>
      </c>
      <c r="D2770" s="12" t="str">
        <f>"0020-4277"</f>
        <v>0020-4277</v>
      </c>
      <c r="E2770" s="5">
        <v>2.62</v>
      </c>
      <c r="F2770" s="5">
        <v>0.59499999999999997</v>
      </c>
    </row>
    <row r="2771" spans="2:6" x14ac:dyDescent="0.2">
      <c r="B2771" s="9" t="s">
        <v>6134</v>
      </c>
      <c r="C2771" s="15" t="s">
        <v>4374</v>
      </c>
      <c r="D2771" s="12" t="str">
        <f>"1073-9149"</f>
        <v>1073-9149</v>
      </c>
      <c r="E2771" s="5">
        <v>1.5840000000000001</v>
      </c>
      <c r="F2771" s="5">
        <v>0.34399999999999997</v>
      </c>
    </row>
    <row r="2772" spans="2:6" x14ac:dyDescent="0.2">
      <c r="B2772" s="9" t="s">
        <v>6135</v>
      </c>
      <c r="C2772" s="15" t="s">
        <v>4375</v>
      </c>
      <c r="D2772" s="12" t="str">
        <f>"0167-6687"</f>
        <v>0167-6687</v>
      </c>
      <c r="E2772" s="5">
        <v>1.9330000000000001</v>
      </c>
      <c r="F2772" s="5">
        <v>0.63200000000000001</v>
      </c>
    </row>
    <row r="2773" spans="2:6" x14ac:dyDescent="0.2">
      <c r="B2773" s="9" t="s">
        <v>6136</v>
      </c>
      <c r="C2773" s="15" t="s">
        <v>4376</v>
      </c>
      <c r="D2773" s="12" t="str">
        <f>"0392-9590"</f>
        <v>0392-9590</v>
      </c>
      <c r="E2773" s="5">
        <v>2.7890000000000001</v>
      </c>
      <c r="F2773" s="5">
        <v>0.43099999999999999</v>
      </c>
    </row>
    <row r="2774" spans="2:6" x14ac:dyDescent="0.2">
      <c r="B2774" s="9" t="s">
        <v>6137</v>
      </c>
      <c r="C2774" s="15" t="s">
        <v>4377</v>
      </c>
      <c r="D2774" s="12" t="str">
        <f>"1018-2438"</f>
        <v>1018-2438</v>
      </c>
      <c r="E2774" s="5">
        <v>2.7490000000000001</v>
      </c>
      <c r="F2774" s="5">
        <v>0.35699999999999998</v>
      </c>
    </row>
    <row r="2775" spans="2:6" x14ac:dyDescent="0.2">
      <c r="B2775" s="9" t="s">
        <v>6138</v>
      </c>
      <c r="C2775" s="15" t="s">
        <v>4378</v>
      </c>
      <c r="D2775" s="12" t="str">
        <f>"0340-0131"</f>
        <v>0340-0131</v>
      </c>
      <c r="E2775" s="5">
        <v>3.0150000000000001</v>
      </c>
      <c r="F2775" s="5">
        <v>0.64200000000000002</v>
      </c>
    </row>
    <row r="2776" spans="2:6" x14ac:dyDescent="0.2">
      <c r="B2776" s="9" t="s">
        <v>6139</v>
      </c>
      <c r="C2776" s="15" t="s">
        <v>4379</v>
      </c>
      <c r="D2776" s="12" t="str">
        <f>"0964-8305"</f>
        <v>0964-8305</v>
      </c>
      <c r="E2776" s="5">
        <v>4.32</v>
      </c>
      <c r="F2776" s="5">
        <v>0.69599999999999995</v>
      </c>
    </row>
    <row r="2777" spans="2:6" x14ac:dyDescent="0.2">
      <c r="B2777" s="9" t="s">
        <v>9847</v>
      </c>
      <c r="C2777" s="15" t="s">
        <v>9848</v>
      </c>
      <c r="D2777" s="12" t="str">
        <f>"1677-5538"</f>
        <v>1677-5538</v>
      </c>
      <c r="E2777" s="5">
        <v>1.5409999999999999</v>
      </c>
      <c r="F2777" s="5">
        <v>0.157</v>
      </c>
    </row>
    <row r="2778" spans="2:6" x14ac:dyDescent="0.2">
      <c r="B2778" s="9" t="s">
        <v>9849</v>
      </c>
      <c r="C2778" s="15" t="s">
        <v>9850</v>
      </c>
      <c r="D2778" s="12" t="str">
        <f>"1746-4358"</f>
        <v>1746-4358</v>
      </c>
      <c r="E2778" s="5">
        <v>3.4609999999999999</v>
      </c>
      <c r="F2778" s="5">
        <v>0.84499999999999997</v>
      </c>
    </row>
    <row r="2779" spans="2:6" x14ac:dyDescent="0.2">
      <c r="B2779" s="9" t="s">
        <v>6140</v>
      </c>
      <c r="C2779" s="15" t="s">
        <v>4380</v>
      </c>
      <c r="D2779" s="12" t="str">
        <f>"1473-5857"</f>
        <v>1473-5857</v>
      </c>
      <c r="E2779" s="5">
        <v>1.659</v>
      </c>
      <c r="F2779" s="5">
        <v>0.218</v>
      </c>
    </row>
    <row r="2780" spans="2:6" x14ac:dyDescent="0.2">
      <c r="B2780" s="9" t="s">
        <v>6141</v>
      </c>
      <c r="C2780" s="15" t="s">
        <v>4381</v>
      </c>
      <c r="D2780" s="12" t="str">
        <f>"0020-6539"</f>
        <v>0020-6539</v>
      </c>
      <c r="E2780" s="5">
        <v>2.512</v>
      </c>
      <c r="F2780" s="5">
        <v>0.51600000000000001</v>
      </c>
    </row>
    <row r="2781" spans="2:6" x14ac:dyDescent="0.2">
      <c r="B2781" s="9" t="s">
        <v>9851</v>
      </c>
      <c r="C2781" s="15" t="s">
        <v>9852</v>
      </c>
      <c r="D2781" s="12" t="str">
        <f>"1757-9708"</f>
        <v>1757-9708</v>
      </c>
      <c r="E2781" s="5">
        <v>2.1920000000000002</v>
      </c>
      <c r="F2781" s="5">
        <v>0.14499999999999999</v>
      </c>
    </row>
    <row r="2782" spans="2:6" x14ac:dyDescent="0.2">
      <c r="B2782" s="9" t="s">
        <v>1449</v>
      </c>
      <c r="C2782" s="15" t="s">
        <v>1450</v>
      </c>
      <c r="D2782" s="12" t="str">
        <f>"1534-7354"</f>
        <v>1534-7354</v>
      </c>
      <c r="E2782" s="5">
        <v>3.2789999999999999</v>
      </c>
      <c r="F2782" s="5">
        <v>0.75</v>
      </c>
    </row>
    <row r="2783" spans="2:6" x14ac:dyDescent="0.2">
      <c r="B2783" s="9" t="s">
        <v>1451</v>
      </c>
      <c r="C2783" s="15" t="s">
        <v>1452</v>
      </c>
      <c r="D2783" s="12" t="str">
        <f>"1069-2509"</f>
        <v>1069-2509</v>
      </c>
      <c r="E2783" s="5">
        <v>4.827</v>
      </c>
      <c r="F2783" s="5">
        <v>0.86699999999999999</v>
      </c>
    </row>
    <row r="2784" spans="2:6" x14ac:dyDescent="0.2">
      <c r="B2784" s="9" t="s">
        <v>9853</v>
      </c>
      <c r="C2784" s="15" t="s">
        <v>9854</v>
      </c>
      <c r="D2784" s="12" t="str">
        <f>"1551-3777"</f>
        <v>1551-3777</v>
      </c>
      <c r="E2784" s="5">
        <v>2.992</v>
      </c>
      <c r="F2784" s="5">
        <v>0.48699999999999999</v>
      </c>
    </row>
    <row r="2785" spans="2:6" x14ac:dyDescent="0.2">
      <c r="B2785" s="9" t="s">
        <v>9855</v>
      </c>
      <c r="C2785" s="15" t="s">
        <v>9856</v>
      </c>
      <c r="D2785" s="12" t="str">
        <f>"2213-4220"</f>
        <v>2213-4220</v>
      </c>
      <c r="E2785" s="5">
        <v>2.3679999999999999</v>
      </c>
      <c r="F2785" s="5">
        <v>0.46400000000000002</v>
      </c>
    </row>
    <row r="2786" spans="2:6" x14ac:dyDescent="0.2">
      <c r="B2786" s="9" t="s">
        <v>1453</v>
      </c>
      <c r="C2786" s="15" t="s">
        <v>1454</v>
      </c>
      <c r="D2786" s="12" t="str">
        <f>"1932-4502"</f>
        <v>1932-4502</v>
      </c>
      <c r="E2786" s="5">
        <v>0.878</v>
      </c>
      <c r="F2786" s="5">
        <v>7.0999999999999994E-2</v>
      </c>
    </row>
    <row r="2787" spans="2:6" x14ac:dyDescent="0.2">
      <c r="B2787" s="9" t="s">
        <v>1455</v>
      </c>
      <c r="C2787" s="15" t="s">
        <v>1456</v>
      </c>
      <c r="D2787" s="12" t="str">
        <f>"1934-9491"</f>
        <v>1934-9491</v>
      </c>
      <c r="E2787" s="5">
        <v>1.94</v>
      </c>
      <c r="F2787" s="5">
        <v>0.45500000000000002</v>
      </c>
    </row>
    <row r="2788" spans="2:6" x14ac:dyDescent="0.2">
      <c r="B2788" s="9" t="s">
        <v>1457</v>
      </c>
      <c r="C2788" s="15" t="s">
        <v>1457</v>
      </c>
      <c r="D2788" s="12" t="str">
        <f>"0160-2896"</f>
        <v>0160-2896</v>
      </c>
      <c r="E2788" s="5">
        <v>2.77</v>
      </c>
      <c r="F2788" s="5">
        <v>0.63300000000000001</v>
      </c>
    </row>
    <row r="2789" spans="2:6" x14ac:dyDescent="0.2">
      <c r="B2789" s="9" t="s">
        <v>9857</v>
      </c>
      <c r="C2789" s="15" t="s">
        <v>9858</v>
      </c>
      <c r="D2789" s="12" t="str">
        <f>"1755-599X"</f>
        <v>1755-599X</v>
      </c>
      <c r="E2789" s="5">
        <v>2.1419999999999999</v>
      </c>
      <c r="F2789" s="5">
        <v>0.61099999999999999</v>
      </c>
    </row>
    <row r="2790" spans="2:6" x14ac:dyDescent="0.2">
      <c r="B2790" s="9" t="s">
        <v>6142</v>
      </c>
      <c r="C2790" s="15" t="s">
        <v>4382</v>
      </c>
      <c r="D2790" s="12" t="str">
        <f>"0143-2885"</f>
        <v>0143-2885</v>
      </c>
      <c r="E2790" s="5">
        <v>5.2640000000000002</v>
      </c>
      <c r="F2790" s="5">
        <v>0.90100000000000002</v>
      </c>
    </row>
    <row r="2791" spans="2:6" x14ac:dyDescent="0.2">
      <c r="B2791" s="9" t="s">
        <v>5514</v>
      </c>
      <c r="C2791" s="15" t="s">
        <v>4508</v>
      </c>
      <c r="D2791" s="12" t="str">
        <f>"0342-4642"</f>
        <v>0342-4642</v>
      </c>
      <c r="E2791" s="5">
        <v>17.440000000000001</v>
      </c>
      <c r="F2791" s="5">
        <v>0.94399999999999995</v>
      </c>
    </row>
    <row r="2792" spans="2:6" x14ac:dyDescent="0.2">
      <c r="B2792" s="9" t="s">
        <v>9859</v>
      </c>
      <c r="C2792" s="15" t="s">
        <v>9860</v>
      </c>
      <c r="D2792" s="12" t="str">
        <f>"0964-3397"</f>
        <v>0964-3397</v>
      </c>
      <c r="E2792" s="5">
        <v>3.0720000000000001</v>
      </c>
      <c r="F2792" s="5">
        <v>0.91300000000000003</v>
      </c>
    </row>
    <row r="2793" spans="2:6" x14ac:dyDescent="0.2">
      <c r="B2793" s="9" t="s">
        <v>9861</v>
      </c>
      <c r="C2793" s="15" t="s">
        <v>9862</v>
      </c>
      <c r="D2793" s="12" t="str">
        <f>"1569-9293"</f>
        <v>1569-9293</v>
      </c>
      <c r="E2793" s="5">
        <v>1.905</v>
      </c>
      <c r="F2793" s="5">
        <v>0.35199999999999998</v>
      </c>
    </row>
    <row r="2794" spans="2:6" x14ac:dyDescent="0.2">
      <c r="B2794" s="9" t="s">
        <v>5515</v>
      </c>
      <c r="C2794" s="15" t="s">
        <v>5515</v>
      </c>
      <c r="D2794" s="12" t="str">
        <f>"0378-1844"</f>
        <v>0378-1844</v>
      </c>
      <c r="E2794" s="5">
        <v>0.39600000000000002</v>
      </c>
      <c r="F2794" s="5">
        <v>2.4E-2</v>
      </c>
    </row>
    <row r="2795" spans="2:6" x14ac:dyDescent="0.2">
      <c r="B2795" s="9" t="s">
        <v>5516</v>
      </c>
      <c r="C2795" s="15" t="s">
        <v>4509</v>
      </c>
      <c r="D2795" s="12" t="str">
        <f>"0308-0188"</f>
        <v>0308-0188</v>
      </c>
      <c r="E2795" s="5">
        <v>1</v>
      </c>
      <c r="F2795" s="5">
        <v>0.23899999999999999</v>
      </c>
    </row>
    <row r="2796" spans="2:6" x14ac:dyDescent="0.2">
      <c r="B2796" s="9" t="s">
        <v>9863</v>
      </c>
      <c r="C2796" s="15" t="s">
        <v>9864</v>
      </c>
      <c r="D2796" s="12" t="str">
        <f>"2042-8898"</f>
        <v>2042-8898</v>
      </c>
      <c r="E2796" s="5">
        <v>3.9060000000000001</v>
      </c>
      <c r="F2796" s="5">
        <v>0.73099999999999998</v>
      </c>
    </row>
    <row r="2797" spans="2:6" x14ac:dyDescent="0.2">
      <c r="B2797" s="9" t="s">
        <v>5518</v>
      </c>
      <c r="C2797" s="15" t="s">
        <v>4511</v>
      </c>
      <c r="D2797" s="12" t="str">
        <f>"0918-2918"</f>
        <v>0918-2918</v>
      </c>
      <c r="E2797" s="5">
        <v>1.2709999999999999</v>
      </c>
      <c r="F2797" s="5">
        <v>0.26900000000000002</v>
      </c>
    </row>
    <row r="2798" spans="2:6" x14ac:dyDescent="0.2">
      <c r="B2798" s="9" t="s">
        <v>1458</v>
      </c>
      <c r="C2798" s="15" t="s">
        <v>1459</v>
      </c>
      <c r="D2798" s="12" t="str">
        <f>"1828-0447"</f>
        <v>1828-0447</v>
      </c>
      <c r="E2798" s="5">
        <v>3.3969999999999998</v>
      </c>
      <c r="F2798" s="5">
        <v>0.71299999999999997</v>
      </c>
    </row>
    <row r="2799" spans="2:6" ht="25.5" x14ac:dyDescent="0.2">
      <c r="B2799" s="9" t="s">
        <v>9865</v>
      </c>
      <c r="C2799" s="15" t="s">
        <v>9866</v>
      </c>
      <c r="D2799" s="12" t="str">
        <f>"2214-7829"</f>
        <v>2214-7829</v>
      </c>
      <c r="E2799" s="5">
        <v>4.3330000000000002</v>
      </c>
      <c r="F2799" s="5">
        <v>0.80400000000000005</v>
      </c>
    </row>
    <row r="2800" spans="2:6" x14ac:dyDescent="0.2">
      <c r="B2800" s="9" t="s">
        <v>5519</v>
      </c>
      <c r="C2800" s="15" t="s">
        <v>5519</v>
      </c>
      <c r="D2800" s="12" t="str">
        <f>"0020-9554"</f>
        <v>0020-9554</v>
      </c>
      <c r="E2800" s="5">
        <v>0.74299999999999999</v>
      </c>
      <c r="F2800" s="5">
        <v>0.13800000000000001</v>
      </c>
    </row>
    <row r="2801" spans="2:6" x14ac:dyDescent="0.2">
      <c r="B2801" s="9" t="s">
        <v>5517</v>
      </c>
      <c r="C2801" s="15" t="s">
        <v>4510</v>
      </c>
      <c r="D2801" s="12" t="str">
        <f>"1444-0903"</f>
        <v>1444-0903</v>
      </c>
      <c r="E2801" s="5">
        <v>2.048</v>
      </c>
      <c r="F2801" s="5">
        <v>0.437</v>
      </c>
    </row>
    <row r="2802" spans="2:6" x14ac:dyDescent="0.2">
      <c r="B2802" s="9" t="s">
        <v>5521</v>
      </c>
      <c r="C2802" s="15" t="s">
        <v>5521</v>
      </c>
      <c r="D2802" s="12" t="str">
        <f>"0300-5526"</f>
        <v>0300-5526</v>
      </c>
      <c r="E2802" s="5">
        <v>1.7629999999999999</v>
      </c>
      <c r="F2802" s="5">
        <v>0.111</v>
      </c>
    </row>
    <row r="2803" spans="2:6" x14ac:dyDescent="0.2">
      <c r="B2803" s="9" t="s">
        <v>5520</v>
      </c>
      <c r="C2803" s="15" t="s">
        <v>4512</v>
      </c>
      <c r="D2803" s="12" t="str">
        <f>"1591-0199"</f>
        <v>1591-0199</v>
      </c>
      <c r="E2803" s="5">
        <v>1.61</v>
      </c>
      <c r="F2803" s="5">
        <v>0.17299999999999999</v>
      </c>
    </row>
    <row r="2804" spans="2:6" x14ac:dyDescent="0.2">
      <c r="B2804" s="9" t="s">
        <v>9867</v>
      </c>
      <c r="C2804" s="15" t="s">
        <v>9868</v>
      </c>
      <c r="D2804" s="12" t="str">
        <f>"1461-6742"</f>
        <v>1461-6742</v>
      </c>
      <c r="E2804" s="5">
        <v>2.0830000000000002</v>
      </c>
      <c r="F2804" s="5">
        <v>0.65900000000000003</v>
      </c>
    </row>
    <row r="2805" spans="2:6" x14ac:dyDescent="0.2">
      <c r="B2805" s="9" t="s">
        <v>9869</v>
      </c>
      <c r="C2805" s="15" t="s">
        <v>9870</v>
      </c>
      <c r="D2805" s="12" t="str">
        <f>"2042-6976"</f>
        <v>2042-6976</v>
      </c>
      <c r="E2805" s="5">
        <v>3.8580000000000001</v>
      </c>
      <c r="F2805" s="5">
        <v>0.97699999999999998</v>
      </c>
    </row>
    <row r="2806" spans="2:6" x14ac:dyDescent="0.2">
      <c r="B2806" s="9" t="s">
        <v>9871</v>
      </c>
      <c r="C2806" s="15" t="s">
        <v>9872</v>
      </c>
      <c r="D2806" s="12" t="str">
        <f>"1445-9795"</f>
        <v>1445-9795</v>
      </c>
      <c r="E2806" s="5">
        <v>2.508</v>
      </c>
      <c r="F2806" s="5">
        <v>0.34100000000000003</v>
      </c>
    </row>
    <row r="2807" spans="2:6" x14ac:dyDescent="0.2">
      <c r="B2807" s="9" t="s">
        <v>9873</v>
      </c>
      <c r="C2807" s="15" t="s">
        <v>9874</v>
      </c>
      <c r="D2807" s="12" t="str">
        <f>"1876-3413"</f>
        <v>1876-3413</v>
      </c>
      <c r="E2807" s="5">
        <v>2.4729999999999999</v>
      </c>
      <c r="F2807" s="5">
        <v>0.498</v>
      </c>
    </row>
    <row r="2808" spans="2:6" x14ac:dyDescent="0.2">
      <c r="B2808" s="9" t="s">
        <v>6143</v>
      </c>
      <c r="C2808" s="15" t="s">
        <v>4383</v>
      </c>
      <c r="D2808" s="12" t="str">
        <f>"1349-2365"</f>
        <v>1349-2365</v>
      </c>
      <c r="E2808" s="5">
        <v>1.8620000000000001</v>
      </c>
      <c r="F2808" s="5">
        <v>0.17699999999999999</v>
      </c>
    </row>
    <row r="2809" spans="2:6" x14ac:dyDescent="0.2">
      <c r="B2809" s="9" t="s">
        <v>6144</v>
      </c>
      <c r="C2809" s="15" t="s">
        <v>4384</v>
      </c>
      <c r="D2809" s="12" t="str">
        <f>"0953-8178"</f>
        <v>0953-8178</v>
      </c>
      <c r="E2809" s="5">
        <v>4.8230000000000004</v>
      </c>
      <c r="F2809" s="5">
        <v>0.61099999999999999</v>
      </c>
    </row>
    <row r="2810" spans="2:6" x14ac:dyDescent="0.2">
      <c r="B2810" s="9" t="s">
        <v>6145</v>
      </c>
      <c r="C2810" s="15" t="s">
        <v>4385</v>
      </c>
      <c r="D2810" s="12" t="str">
        <f>"1567-5769"</f>
        <v>1567-5769</v>
      </c>
      <c r="E2810" s="5">
        <v>4.9320000000000004</v>
      </c>
      <c r="F2810" s="5">
        <v>0.749</v>
      </c>
    </row>
    <row r="2811" spans="2:6" x14ac:dyDescent="0.2">
      <c r="B2811" s="9" t="s">
        <v>9875</v>
      </c>
      <c r="C2811" s="15" t="s">
        <v>9876</v>
      </c>
      <c r="D2811" s="12" t="str">
        <f>"1027-5851"</f>
        <v>1027-5851</v>
      </c>
      <c r="E2811" s="5">
        <v>0.58099999999999996</v>
      </c>
      <c r="F2811" s="5">
        <v>6.5000000000000002E-2</v>
      </c>
    </row>
    <row r="2812" spans="2:6" x14ac:dyDescent="0.2">
      <c r="B2812" s="9" t="s">
        <v>9877</v>
      </c>
      <c r="C2812" s="15" t="s">
        <v>9878</v>
      </c>
      <c r="D2812" s="12" t="str">
        <f>"1475-472X"</f>
        <v>1475-472X</v>
      </c>
      <c r="E2812" s="5">
        <v>1.115</v>
      </c>
      <c r="F2812" s="5">
        <v>0.32400000000000001</v>
      </c>
    </row>
    <row r="2813" spans="2:6" x14ac:dyDescent="0.2">
      <c r="B2813" s="9" t="s">
        <v>9879</v>
      </c>
      <c r="C2813" s="15" t="s">
        <v>9880</v>
      </c>
      <c r="D2813" s="12" t="str">
        <f>"2472-1832"</f>
        <v>2472-1832</v>
      </c>
      <c r="E2813" s="5">
        <v>0.94099999999999995</v>
      </c>
      <c r="F2813" s="5">
        <v>0.06</v>
      </c>
    </row>
    <row r="2814" spans="2:6" x14ac:dyDescent="0.2">
      <c r="B2814" s="9" t="s">
        <v>1357</v>
      </c>
      <c r="C2814" s="15" t="s">
        <v>1358</v>
      </c>
      <c r="D2814" s="12" t="str">
        <f>"0091-4150"</f>
        <v>0091-4150</v>
      </c>
      <c r="E2814" s="5">
        <v>2.2240000000000002</v>
      </c>
      <c r="F2814" s="5">
        <v>0.44400000000000001</v>
      </c>
    </row>
    <row r="2815" spans="2:6" x14ac:dyDescent="0.2">
      <c r="B2815" s="9" t="s">
        <v>9881</v>
      </c>
      <c r="C2815" s="15" t="s">
        <v>9882</v>
      </c>
      <c r="D2815" s="12" t="str">
        <f>"1687-8760"</f>
        <v>1687-8760</v>
      </c>
      <c r="E2815" s="5">
        <v>1.885</v>
      </c>
      <c r="F2815" s="5">
        <v>0.16900000000000001</v>
      </c>
    </row>
    <row r="2816" spans="2:6" x14ac:dyDescent="0.2">
      <c r="B2816" s="9" t="s">
        <v>6146</v>
      </c>
      <c r="C2816" s="15" t="s">
        <v>4386</v>
      </c>
      <c r="D2816" s="12" t="str">
        <f>"0924-8579"</f>
        <v>0924-8579</v>
      </c>
      <c r="E2816" s="5">
        <v>5.2830000000000004</v>
      </c>
      <c r="F2816" s="5">
        <v>0.82599999999999996</v>
      </c>
    </row>
    <row r="2817" spans="2:6" x14ac:dyDescent="0.2">
      <c r="B2817" s="9" t="s">
        <v>9883</v>
      </c>
      <c r="C2817" s="15" t="s">
        <v>9884</v>
      </c>
      <c r="D2817" s="12" t="str">
        <f>"1542-2666"</f>
        <v>1542-2666</v>
      </c>
      <c r="E2817" s="5">
        <v>0.30599999999999999</v>
      </c>
      <c r="F2817" s="5">
        <v>5.5E-2</v>
      </c>
    </row>
    <row r="2818" spans="2:6" x14ac:dyDescent="0.2">
      <c r="B2818" s="9" t="s">
        <v>1359</v>
      </c>
      <c r="C2818" s="15" t="s">
        <v>1360</v>
      </c>
      <c r="D2818" s="12" t="str">
        <f>"0218-2130"</f>
        <v>0218-2130</v>
      </c>
      <c r="E2818" s="5">
        <v>1.208</v>
      </c>
      <c r="F2818" s="5">
        <v>0.14399999999999999</v>
      </c>
    </row>
    <row r="2819" spans="2:6" x14ac:dyDescent="0.2">
      <c r="B2819" s="9" t="s">
        <v>6147</v>
      </c>
      <c r="C2819" s="15" t="s">
        <v>4387</v>
      </c>
      <c r="D2819" s="12" t="str">
        <f>"0391-3988"</f>
        <v>0391-3988</v>
      </c>
      <c r="E2819" s="5">
        <v>1.595</v>
      </c>
      <c r="F2819" s="5">
        <v>0.24</v>
      </c>
    </row>
    <row r="2820" spans="2:6" x14ac:dyDescent="0.2">
      <c r="B2820" s="9" t="s">
        <v>9885</v>
      </c>
      <c r="C2820" s="15" t="s">
        <v>9886</v>
      </c>
      <c r="D2820" s="12" t="str">
        <f>"1473-5504"</f>
        <v>1473-5504</v>
      </c>
      <c r="E2820" s="5">
        <v>1.673</v>
      </c>
      <c r="F2820" s="5">
        <v>0.36799999999999999</v>
      </c>
    </row>
    <row r="2821" spans="2:6" x14ac:dyDescent="0.2">
      <c r="B2821" s="9" t="s">
        <v>6148</v>
      </c>
      <c r="C2821" s="15" t="s">
        <v>4388</v>
      </c>
      <c r="D2821" s="12" t="str">
        <f>"1499-2027"</f>
        <v>1499-2027</v>
      </c>
      <c r="E2821" s="5">
        <v>2.117</v>
      </c>
      <c r="F2821" s="5">
        <v>0.52300000000000002</v>
      </c>
    </row>
    <row r="2822" spans="2:6" x14ac:dyDescent="0.2">
      <c r="B2822" s="9" t="s">
        <v>1361</v>
      </c>
      <c r="C2822" s="15" t="s">
        <v>4389</v>
      </c>
      <c r="D2822" s="12" t="str">
        <f>"1229-9138"</f>
        <v>1229-9138</v>
      </c>
      <c r="E2822" s="5">
        <v>1.2689999999999999</v>
      </c>
      <c r="F2822" s="5">
        <v>0.188</v>
      </c>
    </row>
    <row r="2823" spans="2:6" x14ac:dyDescent="0.2">
      <c r="B2823" s="9" t="s">
        <v>1362</v>
      </c>
      <c r="C2823" s="15" t="s">
        <v>1363</v>
      </c>
      <c r="D2823" s="12" t="str">
        <f>"0165-0254"</f>
        <v>0165-0254</v>
      </c>
      <c r="E2823" s="5">
        <v>2.48</v>
      </c>
      <c r="F2823" s="5">
        <v>0.51900000000000002</v>
      </c>
    </row>
    <row r="2824" spans="2:6" x14ac:dyDescent="0.2">
      <c r="B2824" s="9" t="s">
        <v>1364</v>
      </c>
      <c r="C2824" s="15" t="s">
        <v>1365</v>
      </c>
      <c r="D2824" s="12" t="str">
        <f>"1070-5503"</f>
        <v>1070-5503</v>
      </c>
      <c r="E2824" s="5">
        <v>2.2290000000000001</v>
      </c>
      <c r="F2824" s="5">
        <v>0.35399999999999998</v>
      </c>
    </row>
    <row r="2825" spans="2:6" x14ac:dyDescent="0.2">
      <c r="B2825" s="9" t="s">
        <v>1366</v>
      </c>
      <c r="C2825" s="15" t="s">
        <v>1367</v>
      </c>
      <c r="D2825" s="12" t="str">
        <f>"1479-5868"</f>
        <v>1479-5868</v>
      </c>
      <c r="E2825" s="5">
        <v>6.4569999999999999</v>
      </c>
      <c r="F2825" s="5">
        <v>0.93799999999999994</v>
      </c>
    </row>
    <row r="2826" spans="2:6" x14ac:dyDescent="0.2">
      <c r="B2826" s="9" t="s">
        <v>6149</v>
      </c>
      <c r="C2826" s="15" t="s">
        <v>4390</v>
      </c>
      <c r="D2826" s="12" t="str">
        <f>"0218-1274"</f>
        <v>0218-1274</v>
      </c>
      <c r="E2826" s="5">
        <v>2.8359999999999999</v>
      </c>
      <c r="F2826" s="5">
        <v>0.73099999999999998</v>
      </c>
    </row>
    <row r="2827" spans="2:6" x14ac:dyDescent="0.2">
      <c r="B2827" s="9" t="s">
        <v>6150</v>
      </c>
      <c r="C2827" s="15" t="s">
        <v>4391</v>
      </c>
      <c r="D2827" s="12" t="str">
        <f>"1357-2725"</f>
        <v>1357-2725</v>
      </c>
      <c r="E2827" s="5">
        <v>5.085</v>
      </c>
      <c r="F2827" s="5">
        <v>0.70599999999999996</v>
      </c>
    </row>
    <row r="2828" spans="2:6" x14ac:dyDescent="0.2">
      <c r="B2828" s="9" t="s">
        <v>6151</v>
      </c>
      <c r="C2828" s="15" t="s">
        <v>4392</v>
      </c>
      <c r="D2828" s="12" t="str">
        <f>"0141-8130"</f>
        <v>0141-8130</v>
      </c>
      <c r="E2828" s="5">
        <v>6.9530000000000003</v>
      </c>
      <c r="F2828" s="5">
        <v>0.94299999999999995</v>
      </c>
    </row>
    <row r="2829" spans="2:6" x14ac:dyDescent="0.2">
      <c r="B2829" s="9" t="s">
        <v>6152</v>
      </c>
      <c r="C2829" s="15" t="s">
        <v>4393</v>
      </c>
      <c r="D2829" s="12" t="str">
        <f>"0393-6155"</f>
        <v>0393-6155</v>
      </c>
      <c r="E2829" s="5">
        <v>2.6589999999999998</v>
      </c>
      <c r="F2829" s="5">
        <v>0.36699999999999999</v>
      </c>
    </row>
    <row r="2830" spans="2:6" x14ac:dyDescent="0.2">
      <c r="B2830" s="9" t="s">
        <v>1368</v>
      </c>
      <c r="C2830" s="15" t="s">
        <v>1369</v>
      </c>
      <c r="D2830" s="12" t="str">
        <f>"1449-2288"</f>
        <v>1449-2288</v>
      </c>
      <c r="E2830" s="5">
        <v>6.58</v>
      </c>
      <c r="F2830" s="5">
        <v>0.81100000000000005</v>
      </c>
    </row>
    <row r="2831" spans="2:6" x14ac:dyDescent="0.2">
      <c r="B2831" s="9" t="s">
        <v>6153</v>
      </c>
      <c r="C2831" s="15" t="s">
        <v>4394</v>
      </c>
      <c r="D2831" s="12" t="str">
        <f>"0020-7128"</f>
        <v>0020-7128</v>
      </c>
      <c r="E2831" s="5">
        <v>3.7869999999999999</v>
      </c>
      <c r="F2831" s="5">
        <v>0.71599999999999997</v>
      </c>
    </row>
    <row r="2832" spans="2:6" x14ac:dyDescent="0.2">
      <c r="B2832" s="9" t="s">
        <v>9887</v>
      </c>
      <c r="C2832" s="15" t="s">
        <v>9888</v>
      </c>
      <c r="D2832" s="12" t="str">
        <f>"2424-7723"</f>
        <v>2424-7723</v>
      </c>
      <c r="E2832" s="5">
        <v>6.6379999999999999</v>
      </c>
      <c r="F2832" s="5">
        <v>0.85099999999999998</v>
      </c>
    </row>
    <row r="2833" spans="2:6" x14ac:dyDescent="0.2">
      <c r="B2833" s="9" t="s">
        <v>9889</v>
      </c>
      <c r="C2833" s="15" t="s">
        <v>9890</v>
      </c>
      <c r="D2833" s="12" t="str">
        <f>"2194-573X"</f>
        <v>2194-573X</v>
      </c>
      <c r="E2833" s="5">
        <v>0.96799999999999997</v>
      </c>
      <c r="F2833" s="5">
        <v>0.20799999999999999</v>
      </c>
    </row>
    <row r="2834" spans="2:6" x14ac:dyDescent="0.2">
      <c r="B2834" s="9" t="s">
        <v>9891</v>
      </c>
      <c r="C2834" s="15" t="s">
        <v>9892</v>
      </c>
      <c r="D2834" s="12" t="str">
        <f>"2194-7511"</f>
        <v>2194-7511</v>
      </c>
      <c r="E2834" s="5">
        <v>4.34</v>
      </c>
      <c r="F2834" s="5">
        <v>0.745</v>
      </c>
    </row>
    <row r="2835" spans="2:6" x14ac:dyDescent="0.2">
      <c r="B2835" s="9" t="s">
        <v>6154</v>
      </c>
      <c r="C2835" s="15" t="s">
        <v>4395</v>
      </c>
      <c r="D2835" s="12" t="str">
        <f>"0020-7136"</f>
        <v>0020-7136</v>
      </c>
      <c r="E2835" s="5">
        <v>7.3959999999999999</v>
      </c>
      <c r="F2835" s="5">
        <v>0.83</v>
      </c>
    </row>
    <row r="2836" spans="2:6" x14ac:dyDescent="0.2">
      <c r="B2836" s="9" t="s">
        <v>6155</v>
      </c>
      <c r="C2836" s="15" t="s">
        <v>4396</v>
      </c>
      <c r="D2836" s="12" t="str">
        <f>"0167-5273"</f>
        <v>0167-5273</v>
      </c>
      <c r="E2836" s="5">
        <v>4.1639999999999997</v>
      </c>
      <c r="F2836" s="5">
        <v>0.61</v>
      </c>
    </row>
    <row r="2837" spans="2:6" x14ac:dyDescent="0.2">
      <c r="B2837" s="9" t="s">
        <v>6156</v>
      </c>
      <c r="C2837" s="15" t="s">
        <v>4397</v>
      </c>
      <c r="D2837" s="12" t="str">
        <f>"1569-5794"</f>
        <v>1569-5794</v>
      </c>
      <c r="E2837" s="5">
        <v>2.3570000000000002</v>
      </c>
      <c r="F2837" s="5">
        <v>0.36899999999999999</v>
      </c>
    </row>
    <row r="2838" spans="2:6" x14ac:dyDescent="0.2">
      <c r="B2838" s="9" t="s">
        <v>9893</v>
      </c>
      <c r="C2838" s="15" t="s">
        <v>9894</v>
      </c>
      <c r="D2838" s="12" t="str">
        <f>"1178-2005"</f>
        <v>1178-2005</v>
      </c>
      <c r="E2838" s="5">
        <v>3.355</v>
      </c>
      <c r="F2838" s="5">
        <v>0.54700000000000004</v>
      </c>
    </row>
    <row r="2839" spans="2:6" x14ac:dyDescent="0.2">
      <c r="B2839" s="9" t="s">
        <v>1370</v>
      </c>
      <c r="C2839" s="15" t="s">
        <v>1371</v>
      </c>
      <c r="D2839" s="12" t="str">
        <f>"1239-9736"</f>
        <v>1239-9736</v>
      </c>
      <c r="E2839" s="5">
        <v>1.228</v>
      </c>
      <c r="F2839" s="5">
        <v>0.126</v>
      </c>
    </row>
    <row r="2840" spans="2:6" x14ac:dyDescent="0.2">
      <c r="B2840" s="9" t="s">
        <v>1372</v>
      </c>
      <c r="C2840" s="15" t="s">
        <v>1373</v>
      </c>
      <c r="D2840" s="12" t="str">
        <f>"0020-7144"</f>
        <v>0020-7144</v>
      </c>
      <c r="E2840" s="5">
        <v>1.0640000000000001</v>
      </c>
      <c r="F2840" s="5">
        <v>0.13800000000000001</v>
      </c>
    </row>
    <row r="2841" spans="2:6" x14ac:dyDescent="0.2">
      <c r="B2841" s="9" t="s">
        <v>1374</v>
      </c>
      <c r="C2841" s="15" t="s">
        <v>1375</v>
      </c>
      <c r="D2841" s="12" t="str">
        <f>"1697-2600"</f>
        <v>1697-2600</v>
      </c>
      <c r="E2841" s="5">
        <v>5.35</v>
      </c>
      <c r="F2841" s="5">
        <v>0.9</v>
      </c>
    </row>
    <row r="2842" spans="2:6" x14ac:dyDescent="0.2">
      <c r="B2842" s="9" t="s">
        <v>1376</v>
      </c>
      <c r="C2842" s="15" t="s">
        <v>1377</v>
      </c>
      <c r="D2842" s="12" t="str">
        <f>"1341-9625"</f>
        <v>1341-9625</v>
      </c>
      <c r="E2842" s="5">
        <v>3.4020000000000001</v>
      </c>
      <c r="F2842" s="5">
        <v>0.33600000000000002</v>
      </c>
    </row>
    <row r="2843" spans="2:6" x14ac:dyDescent="0.2">
      <c r="B2843" s="9" t="s">
        <v>9895</v>
      </c>
      <c r="C2843" s="15" t="s">
        <v>9896</v>
      </c>
      <c r="D2843" s="12" t="str">
        <f>"2210-7703"</f>
        <v>2210-7703</v>
      </c>
      <c r="E2843" s="5">
        <v>2.0539999999999998</v>
      </c>
      <c r="F2843" s="5">
        <v>0.21099999999999999</v>
      </c>
    </row>
    <row r="2844" spans="2:6" x14ac:dyDescent="0.2">
      <c r="B2844" s="9" t="s">
        <v>6157</v>
      </c>
      <c r="C2844" s="15" t="s">
        <v>4398</v>
      </c>
      <c r="D2844" s="12" t="str">
        <f>"0946-1965"</f>
        <v>0946-1965</v>
      </c>
      <c r="E2844" s="5">
        <v>1.3660000000000001</v>
      </c>
      <c r="F2844" s="5">
        <v>9.8000000000000004E-2</v>
      </c>
    </row>
    <row r="2845" spans="2:6" x14ac:dyDescent="0.2">
      <c r="B2845" s="9" t="s">
        <v>6158</v>
      </c>
      <c r="C2845" s="15" t="s">
        <v>4399</v>
      </c>
      <c r="D2845" s="12" t="str">
        <f>"1368-5031"</f>
        <v>1368-5031</v>
      </c>
      <c r="E2845" s="5">
        <v>2.5030000000000001</v>
      </c>
      <c r="F2845" s="5">
        <v>0.56899999999999995</v>
      </c>
    </row>
    <row r="2846" spans="2:6" x14ac:dyDescent="0.2">
      <c r="B2846" s="9" t="s">
        <v>9897</v>
      </c>
      <c r="C2846" s="15" t="s">
        <v>9898</v>
      </c>
      <c r="D2846" s="12" t="str">
        <f>"1937-1209"</f>
        <v>1937-1209</v>
      </c>
      <c r="E2846" s="5">
        <v>1.22</v>
      </c>
      <c r="F2846" s="5">
        <v>0.16900000000000001</v>
      </c>
    </row>
    <row r="2847" spans="2:6" x14ac:dyDescent="0.2">
      <c r="B2847" s="9" t="s">
        <v>6159</v>
      </c>
      <c r="C2847" s="15" t="s">
        <v>4400</v>
      </c>
      <c r="D2847" s="12" t="str">
        <f>"0179-1958"</f>
        <v>0179-1958</v>
      </c>
      <c r="E2847" s="5">
        <v>2.5710000000000002</v>
      </c>
      <c r="F2847" s="5">
        <v>0.53800000000000003</v>
      </c>
    </row>
    <row r="2848" spans="2:6" x14ac:dyDescent="0.2">
      <c r="B2848" s="9" t="s">
        <v>9899</v>
      </c>
      <c r="C2848" s="15" t="s">
        <v>9900</v>
      </c>
      <c r="D2848" s="12" t="str">
        <f>"1556-1607"</f>
        <v>1556-1607</v>
      </c>
      <c r="E2848" s="5">
        <v>5.1079999999999997</v>
      </c>
      <c r="F2848" s="5">
        <v>0.94699999999999995</v>
      </c>
    </row>
    <row r="2849" spans="2:6" x14ac:dyDescent="0.2">
      <c r="B2849" s="9" t="s">
        <v>9901</v>
      </c>
      <c r="C2849" s="15" t="s">
        <v>9902</v>
      </c>
      <c r="D2849" s="12" t="str">
        <f>"1861-6410"</f>
        <v>1861-6410</v>
      </c>
      <c r="E2849" s="5">
        <v>2.9239999999999999</v>
      </c>
      <c r="F2849" s="5">
        <v>0.63800000000000001</v>
      </c>
    </row>
    <row r="2850" spans="2:6" x14ac:dyDescent="0.2">
      <c r="B2850" s="9" t="s">
        <v>9903</v>
      </c>
      <c r="C2850" s="15" t="s">
        <v>9904</v>
      </c>
      <c r="D2850" s="12" t="str">
        <f>"1463-4201"</f>
        <v>1463-4201</v>
      </c>
      <c r="E2850" s="5">
        <v>1.883</v>
      </c>
      <c r="F2850" s="5">
        <v>0.27500000000000002</v>
      </c>
    </row>
    <row r="2851" spans="2:6" x14ac:dyDescent="0.2">
      <c r="B2851" s="9" t="s">
        <v>1378</v>
      </c>
      <c r="C2851" s="15" t="s">
        <v>1379</v>
      </c>
      <c r="D2851" s="12" t="str">
        <f>"0951-192X"</f>
        <v>0951-192X</v>
      </c>
      <c r="E2851" s="5">
        <v>3.2050000000000001</v>
      </c>
      <c r="F2851" s="5">
        <v>0.64300000000000002</v>
      </c>
    </row>
    <row r="2852" spans="2:6" x14ac:dyDescent="0.2">
      <c r="B2852" s="9" t="s">
        <v>9905</v>
      </c>
      <c r="C2852" s="15" t="s">
        <v>9906</v>
      </c>
      <c r="D2852" s="12" t="str">
        <f>"1875-6891"</f>
        <v>1875-6891</v>
      </c>
      <c r="E2852" s="5">
        <v>1.736</v>
      </c>
      <c r="F2852" s="5">
        <v>0.28799999999999998</v>
      </c>
    </row>
    <row r="2853" spans="2:6" x14ac:dyDescent="0.2">
      <c r="B2853" s="9" t="s">
        <v>9907</v>
      </c>
      <c r="C2853" s="15" t="s">
        <v>9908</v>
      </c>
      <c r="D2853" s="12" t="str">
        <f>"0142-5463"</f>
        <v>0142-5463</v>
      </c>
      <c r="E2853" s="5">
        <v>2.97</v>
      </c>
      <c r="F2853" s="5">
        <v>0.52900000000000003</v>
      </c>
    </row>
    <row r="2854" spans="2:6" x14ac:dyDescent="0.2">
      <c r="B2854" s="9" t="s">
        <v>6160</v>
      </c>
      <c r="C2854" s="15" t="s">
        <v>4401</v>
      </c>
      <c r="D2854" s="12" t="str">
        <f>"1358-8265"</f>
        <v>1358-8265</v>
      </c>
      <c r="E2854" s="5">
        <v>2.0550000000000002</v>
      </c>
      <c r="F2854" s="5">
        <v>0.48099999999999998</v>
      </c>
    </row>
    <row r="2855" spans="2:6" x14ac:dyDescent="0.2">
      <c r="B2855" s="9" t="s">
        <v>9909</v>
      </c>
      <c r="C2855" s="15" t="s">
        <v>9910</v>
      </c>
      <c r="D2855" s="12" t="str">
        <f>"1601-5029"</f>
        <v>1601-5029</v>
      </c>
      <c r="E2855" s="5">
        <v>2.4769999999999999</v>
      </c>
      <c r="F2855" s="5">
        <v>0.505</v>
      </c>
    </row>
    <row r="2856" spans="2:6" x14ac:dyDescent="0.2">
      <c r="B2856" s="9" t="s">
        <v>6161</v>
      </c>
      <c r="C2856" s="15" t="s">
        <v>4402</v>
      </c>
      <c r="D2856" s="12" t="str">
        <f>"0011-9059"</f>
        <v>0011-9059</v>
      </c>
      <c r="E2856" s="5">
        <v>2.7360000000000002</v>
      </c>
      <c r="F2856" s="5">
        <v>0.45600000000000002</v>
      </c>
    </row>
    <row r="2857" spans="2:6" x14ac:dyDescent="0.2">
      <c r="B2857" s="9" t="s">
        <v>9911</v>
      </c>
      <c r="C2857" s="15" t="s">
        <v>9912</v>
      </c>
      <c r="D2857" s="12" t="str">
        <f>"1991-3761"</f>
        <v>1991-3761</v>
      </c>
      <c r="E2857" s="5">
        <v>1.923</v>
      </c>
      <c r="F2857" s="5">
        <v>0.48599999999999999</v>
      </c>
    </row>
    <row r="2858" spans="2:6" x14ac:dyDescent="0.2">
      <c r="B2858" s="9" t="s">
        <v>6162</v>
      </c>
      <c r="C2858" s="15" t="s">
        <v>4403</v>
      </c>
      <c r="D2858" s="12" t="str">
        <f>"0214-6282"</f>
        <v>0214-6282</v>
      </c>
      <c r="E2858" s="5">
        <v>2.2029999999999998</v>
      </c>
      <c r="F2858" s="5">
        <v>0.29299999999999998</v>
      </c>
    </row>
    <row r="2859" spans="2:6" x14ac:dyDescent="0.2">
      <c r="B2859" s="9" t="s">
        <v>9913</v>
      </c>
      <c r="C2859" s="15" t="s">
        <v>9914</v>
      </c>
      <c r="D2859" s="12" t="str">
        <f>"2047-3869"</f>
        <v>2047-3869</v>
      </c>
      <c r="E2859" s="5">
        <v>0.97299999999999998</v>
      </c>
      <c r="F2859" s="5">
        <v>6.8000000000000005E-2</v>
      </c>
    </row>
    <row r="2860" spans="2:6" x14ac:dyDescent="0.2">
      <c r="B2860" s="9" t="s">
        <v>6163</v>
      </c>
      <c r="C2860" s="15" t="s">
        <v>4404</v>
      </c>
      <c r="D2860" s="12" t="str">
        <f>"0736-5748"</f>
        <v>0736-5748</v>
      </c>
      <c r="E2860" s="5">
        <v>2.4569999999999999</v>
      </c>
      <c r="F2860" s="5">
        <v>0.439</v>
      </c>
    </row>
    <row r="2861" spans="2:6" x14ac:dyDescent="0.2">
      <c r="B2861" s="9" t="s">
        <v>9915</v>
      </c>
      <c r="C2861" s="15" t="s">
        <v>9916</v>
      </c>
      <c r="D2861" s="12" t="str">
        <f>"0973-3930"</f>
        <v>0973-3930</v>
      </c>
      <c r="E2861" s="5">
        <v>0.71799999999999997</v>
      </c>
      <c r="F2861" s="5">
        <v>4.1000000000000002E-2</v>
      </c>
    </row>
    <row r="2862" spans="2:6" x14ac:dyDescent="0.2">
      <c r="B2862" s="9" t="s">
        <v>9917</v>
      </c>
      <c r="C2862" s="15" t="s">
        <v>9918</v>
      </c>
      <c r="D2862" s="12" t="str">
        <f>"1034-912X"</f>
        <v>1034-912X</v>
      </c>
      <c r="E2862" s="5">
        <v>1.5429999999999999</v>
      </c>
      <c r="F2862" s="5">
        <v>0.27300000000000002</v>
      </c>
    </row>
    <row r="2863" spans="2:6" x14ac:dyDescent="0.2">
      <c r="B2863" s="9" t="s">
        <v>1380</v>
      </c>
      <c r="C2863" s="15" t="s">
        <v>1381</v>
      </c>
      <c r="D2863" s="12" t="str">
        <f>"1873-4758"</f>
        <v>1873-4758</v>
      </c>
      <c r="E2863" s="5">
        <v>5.0090000000000003</v>
      </c>
      <c r="F2863" s="5">
        <v>0.92700000000000005</v>
      </c>
    </row>
    <row r="2864" spans="2:6" x14ac:dyDescent="0.2">
      <c r="B2864" s="9" t="s">
        <v>6164</v>
      </c>
      <c r="C2864" s="15" t="s">
        <v>4405</v>
      </c>
      <c r="D2864" s="12" t="str">
        <f>"0276-3478"</f>
        <v>0276-3478</v>
      </c>
      <c r="E2864" s="5">
        <v>4.8609999999999998</v>
      </c>
      <c r="F2864" s="5">
        <v>0.89600000000000002</v>
      </c>
    </row>
    <row r="2865" spans="2:6" x14ac:dyDescent="0.2">
      <c r="B2865" s="9" t="s">
        <v>9919</v>
      </c>
      <c r="C2865" s="15" t="s">
        <v>9920</v>
      </c>
      <c r="D2865" s="12" t="str">
        <f>"0251-2513"</f>
        <v>0251-2513</v>
      </c>
      <c r="E2865" s="5">
        <v>1.4630000000000001</v>
      </c>
      <c r="F2865" s="5">
        <v>0.216</v>
      </c>
    </row>
    <row r="2866" spans="2:6" x14ac:dyDescent="0.2">
      <c r="B2866" s="9" t="s">
        <v>6165</v>
      </c>
      <c r="C2866" s="15" t="s">
        <v>4406</v>
      </c>
      <c r="D2866" s="12" t="str">
        <f>"0020-7209"</f>
        <v>0020-7209</v>
      </c>
      <c r="E2866" s="5">
        <v>3.8039999999999998</v>
      </c>
      <c r="F2866" s="5">
        <v>0.88400000000000001</v>
      </c>
    </row>
    <row r="2867" spans="2:6" x14ac:dyDescent="0.2">
      <c r="B2867" s="9" t="s">
        <v>9921</v>
      </c>
      <c r="C2867" s="15" t="s">
        <v>9922</v>
      </c>
      <c r="D2867" s="12" t="str">
        <f>"1687-8337"</f>
        <v>1687-8337</v>
      </c>
      <c r="E2867" s="5">
        <v>3.2570000000000001</v>
      </c>
      <c r="F2867" s="5">
        <v>0.33100000000000002</v>
      </c>
    </row>
    <row r="2868" spans="2:6" x14ac:dyDescent="0.2">
      <c r="B2868" s="9" t="s">
        <v>9923</v>
      </c>
      <c r="C2868" s="15" t="s">
        <v>9924</v>
      </c>
      <c r="D2868" s="12" t="str">
        <f>"0949-149X"</f>
        <v>0949-149X</v>
      </c>
      <c r="E2868" s="5">
        <v>0.96899999999999997</v>
      </c>
      <c r="F2868" s="5">
        <v>0.189</v>
      </c>
    </row>
    <row r="2869" spans="2:6" x14ac:dyDescent="0.2">
      <c r="B2869" s="9" t="s">
        <v>5436</v>
      </c>
      <c r="C2869" s="15" t="s">
        <v>4407</v>
      </c>
      <c r="D2869" s="12" t="str">
        <f>"0306-7319"</f>
        <v>0306-7319</v>
      </c>
      <c r="E2869" s="5">
        <v>2.8260000000000001</v>
      </c>
      <c r="F2869" s="5">
        <v>0.45100000000000001</v>
      </c>
    </row>
    <row r="2870" spans="2:6" x14ac:dyDescent="0.2">
      <c r="B2870" s="9" t="s">
        <v>5437</v>
      </c>
      <c r="C2870" s="15" t="s">
        <v>4408</v>
      </c>
      <c r="D2870" s="12" t="str">
        <f>"0960-3123"</f>
        <v>0960-3123</v>
      </c>
      <c r="E2870" s="5">
        <v>3.411</v>
      </c>
      <c r="F2870" s="5">
        <v>0.73699999999999999</v>
      </c>
    </row>
    <row r="2871" spans="2:6" x14ac:dyDescent="0.2">
      <c r="B2871" s="9" t="s">
        <v>9925</v>
      </c>
      <c r="C2871" s="15" t="s">
        <v>9926</v>
      </c>
      <c r="D2871" s="12" t="str">
        <f>"1660-4601"</f>
        <v>1660-4601</v>
      </c>
      <c r="E2871" s="5">
        <v>3.39</v>
      </c>
      <c r="F2871" s="5">
        <v>0.73</v>
      </c>
    </row>
    <row r="2872" spans="2:6" x14ac:dyDescent="0.2">
      <c r="B2872" s="9" t="s">
        <v>5438</v>
      </c>
      <c r="C2872" s="15" t="s">
        <v>4409</v>
      </c>
      <c r="D2872" s="12" t="str">
        <f>"0300-5771"</f>
        <v>0300-5771</v>
      </c>
      <c r="E2872" s="5">
        <v>7.1959999999999997</v>
      </c>
      <c r="F2872" s="5">
        <v>0.94899999999999995</v>
      </c>
    </row>
    <row r="2873" spans="2:6" x14ac:dyDescent="0.2">
      <c r="B2873" s="9" t="s">
        <v>9927</v>
      </c>
      <c r="C2873" s="15" t="s">
        <v>9928</v>
      </c>
      <c r="D2873" s="12" t="str">
        <f>"1475-9276"</f>
        <v>1475-9276</v>
      </c>
      <c r="E2873" s="5">
        <v>3.1920000000000002</v>
      </c>
      <c r="F2873" s="5">
        <v>0.68300000000000005</v>
      </c>
    </row>
    <row r="2874" spans="2:6" x14ac:dyDescent="0.2">
      <c r="B2874" s="9" t="s">
        <v>9929</v>
      </c>
      <c r="C2874" s="15" t="s">
        <v>9930</v>
      </c>
      <c r="D2874" s="12" t="str">
        <f>"1744-1609"</f>
        <v>1744-1609</v>
      </c>
      <c r="E2874" s="5">
        <v>2.548</v>
      </c>
      <c r="F2874" s="5">
        <v>0.58099999999999996</v>
      </c>
    </row>
    <row r="2875" spans="2:6" x14ac:dyDescent="0.2">
      <c r="B2875" s="9" t="s">
        <v>5439</v>
      </c>
      <c r="C2875" s="15" t="s">
        <v>4410</v>
      </c>
      <c r="D2875" s="12" t="str">
        <f>"0959-9673"</f>
        <v>0959-9673</v>
      </c>
      <c r="E2875" s="5">
        <v>1.925</v>
      </c>
      <c r="F2875" s="5">
        <v>0.28599999999999998</v>
      </c>
    </row>
    <row r="2876" spans="2:6" x14ac:dyDescent="0.2">
      <c r="B2876" s="9" t="s">
        <v>5440</v>
      </c>
      <c r="C2876" s="15" t="s">
        <v>4411</v>
      </c>
      <c r="D2876" s="12" t="str">
        <f>"0142-1123"</f>
        <v>0142-1123</v>
      </c>
      <c r="E2876" s="5">
        <v>5.1859999999999999</v>
      </c>
      <c r="F2876" s="5">
        <v>0.89500000000000002</v>
      </c>
    </row>
    <row r="2877" spans="2:6" x14ac:dyDescent="0.2">
      <c r="B2877" s="9" t="s">
        <v>9931</v>
      </c>
      <c r="C2877" s="15" t="s">
        <v>9932</v>
      </c>
      <c r="D2877" s="12" t="str">
        <f>"1937-4585"</f>
        <v>1937-4585</v>
      </c>
      <c r="E2877" s="5">
        <v>0.47499999999999998</v>
      </c>
      <c r="F2877" s="5">
        <v>0.20499999999999999</v>
      </c>
    </row>
    <row r="2878" spans="2:6" x14ac:dyDescent="0.2">
      <c r="B2878" s="9" t="s">
        <v>5441</v>
      </c>
      <c r="C2878" s="15" t="s">
        <v>4412</v>
      </c>
      <c r="D2878" s="12" t="str">
        <f>"0168-1605"</f>
        <v>0168-1605</v>
      </c>
      <c r="E2878" s="5">
        <v>5.2770000000000001</v>
      </c>
      <c r="F2878" s="5">
        <v>0.83199999999999996</v>
      </c>
    </row>
    <row r="2879" spans="2:6" x14ac:dyDescent="0.2">
      <c r="B2879" s="9" t="s">
        <v>5442</v>
      </c>
      <c r="C2879" s="15" t="s">
        <v>4413</v>
      </c>
      <c r="D2879" s="12" t="str">
        <f>"0963-7486"</f>
        <v>0963-7486</v>
      </c>
      <c r="E2879" s="5">
        <v>3.8330000000000002</v>
      </c>
      <c r="F2879" s="5">
        <v>0.69899999999999995</v>
      </c>
    </row>
    <row r="2880" spans="2:6" x14ac:dyDescent="0.2">
      <c r="B2880" s="9" t="s">
        <v>9933</v>
      </c>
      <c r="C2880" s="15" t="s">
        <v>9934</v>
      </c>
      <c r="D2880" s="12" t="str">
        <f>"1499-9013"</f>
        <v>1499-9013</v>
      </c>
      <c r="E2880" s="5">
        <v>1.393</v>
      </c>
      <c r="F2880" s="5">
        <v>0.20300000000000001</v>
      </c>
    </row>
    <row r="2881" spans="2:6" x14ac:dyDescent="0.2">
      <c r="B2881" s="9" t="s">
        <v>5443</v>
      </c>
      <c r="C2881" s="15" t="s">
        <v>4414</v>
      </c>
      <c r="D2881" s="12" t="str">
        <f>"0020-7276"</f>
        <v>0020-7276</v>
      </c>
      <c r="E2881" s="5">
        <v>0.46200000000000002</v>
      </c>
      <c r="F2881" s="5">
        <v>3.7999999999999999E-2</v>
      </c>
    </row>
    <row r="2882" spans="2:6" x14ac:dyDescent="0.2">
      <c r="B2882" s="9" t="s">
        <v>9935</v>
      </c>
      <c r="C2882" s="15" t="s">
        <v>9936</v>
      </c>
      <c r="D2882" s="12"/>
      <c r="E2882" s="5">
        <v>2.4660000000000002</v>
      </c>
      <c r="F2882" s="5">
        <v>0.54500000000000004</v>
      </c>
    </row>
    <row r="2883" spans="2:6" x14ac:dyDescent="0.2">
      <c r="B2883" s="9" t="s">
        <v>9937</v>
      </c>
      <c r="C2883" s="15" t="s">
        <v>9938</v>
      </c>
      <c r="D2883" s="12" t="str">
        <f>"2314-436X"</f>
        <v>2314-436X</v>
      </c>
      <c r="E2883" s="5">
        <v>2.3260000000000001</v>
      </c>
      <c r="F2883" s="5">
        <v>0.29699999999999999</v>
      </c>
    </row>
    <row r="2884" spans="2:6" x14ac:dyDescent="0.2">
      <c r="B2884" s="9" t="s">
        <v>1382</v>
      </c>
      <c r="C2884" s="15" t="s">
        <v>1383</v>
      </c>
      <c r="D2884" s="12" t="str">
        <f>"1365-8816"</f>
        <v>1365-8816</v>
      </c>
      <c r="E2884" s="5">
        <v>4.1859999999999999</v>
      </c>
      <c r="F2884" s="5">
        <v>0.82</v>
      </c>
    </row>
    <row r="2885" spans="2:6" x14ac:dyDescent="0.2">
      <c r="B2885" s="9" t="s">
        <v>5444</v>
      </c>
      <c r="C2885" s="15" t="s">
        <v>4415</v>
      </c>
      <c r="D2885" s="12" t="str">
        <f>"0885-6230"</f>
        <v>0885-6230</v>
      </c>
      <c r="E2885" s="5">
        <v>3.4849999999999999</v>
      </c>
      <c r="F2885" s="5">
        <v>0.77800000000000002</v>
      </c>
    </row>
    <row r="2886" spans="2:6" x14ac:dyDescent="0.2">
      <c r="B2886" s="9" t="s">
        <v>1384</v>
      </c>
      <c r="C2886" s="15" t="s">
        <v>1385</v>
      </c>
      <c r="D2886" s="12" t="str">
        <f>"1873-9598"</f>
        <v>1873-9598</v>
      </c>
      <c r="E2886" s="5">
        <v>0.877</v>
      </c>
      <c r="F2886" s="5">
        <v>3.7999999999999999E-2</v>
      </c>
    </row>
    <row r="2887" spans="2:6" x14ac:dyDescent="0.2">
      <c r="B2887" s="9" t="s">
        <v>1386</v>
      </c>
      <c r="C2887" s="15" t="s">
        <v>1387</v>
      </c>
      <c r="D2887" s="12" t="str">
        <f>"0020-7284"</f>
        <v>0020-7284</v>
      </c>
      <c r="E2887" s="5">
        <v>0.47499999999999998</v>
      </c>
      <c r="F2887" s="5">
        <v>4.5999999999999999E-2</v>
      </c>
    </row>
    <row r="2888" spans="2:6" x14ac:dyDescent="0.2">
      <c r="B2888" s="9" t="s">
        <v>5445</v>
      </c>
      <c r="C2888" s="15" t="s">
        <v>4416</v>
      </c>
      <c r="D2888" s="12" t="str">
        <f>"1048-891X"</f>
        <v>1048-891X</v>
      </c>
      <c r="E2888" s="5">
        <v>3.4369999999999998</v>
      </c>
      <c r="F2888" s="5">
        <v>0.73499999999999999</v>
      </c>
    </row>
    <row r="2889" spans="2:6" x14ac:dyDescent="0.2">
      <c r="B2889" s="9" t="s">
        <v>5446</v>
      </c>
      <c r="C2889" s="15" t="s">
        <v>4417</v>
      </c>
      <c r="D2889" s="12" t="str">
        <f>"0020-7292"</f>
        <v>0020-7292</v>
      </c>
      <c r="E2889" s="5">
        <v>3.5609999999999999</v>
      </c>
      <c r="F2889" s="5">
        <v>0.77100000000000002</v>
      </c>
    </row>
    <row r="2890" spans="2:6" x14ac:dyDescent="0.2">
      <c r="B2890" s="9" t="s">
        <v>5447</v>
      </c>
      <c r="C2890" s="15" t="s">
        <v>4418</v>
      </c>
      <c r="D2890" s="12" t="str">
        <f>"0277-1691"</f>
        <v>0277-1691</v>
      </c>
      <c r="E2890" s="5">
        <v>2.762</v>
      </c>
      <c r="F2890" s="5">
        <v>0.50600000000000001</v>
      </c>
    </row>
    <row r="2891" spans="2:6" x14ac:dyDescent="0.2">
      <c r="B2891" s="9" t="s">
        <v>9939</v>
      </c>
      <c r="C2891" s="15" t="s">
        <v>9940</v>
      </c>
      <c r="D2891" s="12" t="str">
        <f>"2199-9023"</f>
        <v>2199-9023</v>
      </c>
      <c r="E2891" s="5">
        <v>1.675</v>
      </c>
      <c r="F2891" s="5">
        <v>0.41099999999999998</v>
      </c>
    </row>
    <row r="2892" spans="2:6" x14ac:dyDescent="0.2">
      <c r="B2892" s="9" t="s">
        <v>9941</v>
      </c>
      <c r="C2892" s="15" t="s">
        <v>9942</v>
      </c>
      <c r="D2892" s="12" t="str">
        <f>"1476-072X"</f>
        <v>1476-072X</v>
      </c>
      <c r="E2892" s="5">
        <v>3.9180000000000001</v>
      </c>
      <c r="F2892" s="5">
        <v>0.78200000000000003</v>
      </c>
    </row>
    <row r="2893" spans="2:6" x14ac:dyDescent="0.2">
      <c r="B2893" s="9" t="s">
        <v>1388</v>
      </c>
      <c r="C2893" s="15" t="s">
        <v>1389</v>
      </c>
      <c r="D2893" s="12" t="str">
        <f>"0749-6753"</f>
        <v>0749-6753</v>
      </c>
      <c r="E2893" s="5">
        <v>1.5169999999999999</v>
      </c>
      <c r="F2893" s="5">
        <v>0.20799999999999999</v>
      </c>
    </row>
    <row r="2894" spans="2:6" x14ac:dyDescent="0.2">
      <c r="B2894" s="9" t="s">
        <v>9943</v>
      </c>
      <c r="C2894" s="15" t="s">
        <v>9944</v>
      </c>
      <c r="D2894" s="12" t="str">
        <f>"2322-5939"</f>
        <v>2322-5939</v>
      </c>
      <c r="E2894" s="5">
        <v>5.0069999999999997</v>
      </c>
      <c r="F2894" s="5">
        <v>0.94299999999999995</v>
      </c>
    </row>
    <row r="2895" spans="2:6" x14ac:dyDescent="0.2">
      <c r="B2895" s="9" t="s">
        <v>5448</v>
      </c>
      <c r="C2895" s="15" t="s">
        <v>4419</v>
      </c>
      <c r="D2895" s="12" t="str">
        <f>"0020-7314"</f>
        <v>0020-7314</v>
      </c>
      <c r="E2895" s="5">
        <v>1.663</v>
      </c>
      <c r="F2895" s="5">
        <v>0.17</v>
      </c>
    </row>
    <row r="2896" spans="2:6" x14ac:dyDescent="0.2">
      <c r="B2896" s="9" t="s">
        <v>5449</v>
      </c>
      <c r="C2896" s="15" t="s">
        <v>4420</v>
      </c>
      <c r="D2896" s="12" t="str">
        <f>"0142-727X"</f>
        <v>0142-727X</v>
      </c>
      <c r="E2896" s="5">
        <v>2.7890000000000001</v>
      </c>
      <c r="F2896" s="5">
        <v>0.61699999999999999</v>
      </c>
    </row>
    <row r="2897" spans="2:6" x14ac:dyDescent="0.2">
      <c r="B2897" s="9" t="s">
        <v>5450</v>
      </c>
      <c r="C2897" s="15" t="s">
        <v>4421</v>
      </c>
      <c r="D2897" s="12" t="str">
        <f>"0017-9310"</f>
        <v>0017-9310</v>
      </c>
      <c r="E2897" s="5">
        <v>5.5839999999999996</v>
      </c>
      <c r="F2897" s="5">
        <v>0.94099999999999995</v>
      </c>
    </row>
    <row r="2898" spans="2:6" x14ac:dyDescent="0.2">
      <c r="B2898" s="9" t="s">
        <v>5451</v>
      </c>
      <c r="C2898" s="15" t="s">
        <v>4422</v>
      </c>
      <c r="D2898" s="12" t="str">
        <f>"1744-232X"</f>
        <v>1744-232X</v>
      </c>
      <c r="E2898" s="5">
        <v>0.83799999999999997</v>
      </c>
      <c r="F2898" s="5">
        <v>9.8000000000000004E-2</v>
      </c>
    </row>
    <row r="2899" spans="2:6" x14ac:dyDescent="0.2">
      <c r="B2899" s="9" t="s">
        <v>5452</v>
      </c>
      <c r="C2899" s="15" t="s">
        <v>4423</v>
      </c>
      <c r="D2899" s="12" t="str">
        <f>"0925-5710"</f>
        <v>0925-5710</v>
      </c>
      <c r="E2899" s="5">
        <v>2.4900000000000002</v>
      </c>
      <c r="F2899" s="5">
        <v>0.27600000000000002</v>
      </c>
    </row>
    <row r="2900" spans="2:6" x14ac:dyDescent="0.2">
      <c r="B2900" s="9" t="s">
        <v>9945</v>
      </c>
      <c r="C2900" s="15" t="s">
        <v>9946</v>
      </c>
      <c r="D2900" s="12" t="str">
        <f>"1352-7258"</f>
        <v>1352-7258</v>
      </c>
      <c r="E2900" s="5">
        <v>2.1539999999999999</v>
      </c>
      <c r="F2900" s="5">
        <v>0.57799999999999996</v>
      </c>
    </row>
    <row r="2901" spans="2:6" x14ac:dyDescent="0.2">
      <c r="B2901" s="9" t="s">
        <v>1390</v>
      </c>
      <c r="C2901" s="15" t="s">
        <v>1391</v>
      </c>
      <c r="D2901" s="12" t="str">
        <f>"1094-3420"</f>
        <v>1094-3420</v>
      </c>
      <c r="E2901" s="5">
        <v>1.9419999999999999</v>
      </c>
      <c r="F2901" s="5">
        <v>0.6</v>
      </c>
    </row>
    <row r="2902" spans="2:6" x14ac:dyDescent="0.2">
      <c r="B2902" s="9" t="s">
        <v>1392</v>
      </c>
      <c r="C2902" s="15" t="s">
        <v>1393</v>
      </c>
      <c r="D2902" s="12" t="str">
        <f>"1071-5819"</f>
        <v>1071-5819</v>
      </c>
      <c r="E2902" s="5">
        <v>3.6320000000000001</v>
      </c>
      <c r="F2902" s="5">
        <v>0.81299999999999994</v>
      </c>
    </row>
    <row r="2903" spans="2:6" x14ac:dyDescent="0.2">
      <c r="B2903" s="9" t="s">
        <v>9947</v>
      </c>
      <c r="C2903" s="15" t="s">
        <v>9948</v>
      </c>
      <c r="D2903" s="12" t="str">
        <f>"0972-3757"</f>
        <v>0972-3757</v>
      </c>
      <c r="E2903" s="5">
        <v>0.22600000000000001</v>
      </c>
      <c r="F2903" s="5">
        <v>6.0000000000000001E-3</v>
      </c>
    </row>
    <row r="2904" spans="2:6" x14ac:dyDescent="0.2">
      <c r="B2904" s="9" t="s">
        <v>5453</v>
      </c>
      <c r="C2904" s="15" t="s">
        <v>4424</v>
      </c>
      <c r="D2904" s="12" t="str">
        <f>"1438-4639"</f>
        <v>1438-4639</v>
      </c>
      <c r="E2904" s="5">
        <v>5.84</v>
      </c>
      <c r="F2904" s="5">
        <v>0.91800000000000004</v>
      </c>
    </row>
    <row r="2905" spans="2:6" x14ac:dyDescent="0.2">
      <c r="B2905" s="9" t="s">
        <v>9949</v>
      </c>
      <c r="C2905" s="15" t="s">
        <v>9950</v>
      </c>
      <c r="D2905" s="12" t="str">
        <f>"2090-0384"</f>
        <v>2090-0384</v>
      </c>
      <c r="E2905" s="5">
        <v>2.42</v>
      </c>
      <c r="F2905" s="5">
        <v>0.32300000000000001</v>
      </c>
    </row>
    <row r="2906" spans="2:6" x14ac:dyDescent="0.2">
      <c r="B2906" s="9" t="s">
        <v>5454</v>
      </c>
      <c r="C2906" s="15" t="s">
        <v>4425</v>
      </c>
      <c r="D2906" s="12" t="str">
        <f>"1464-5157"</f>
        <v>1464-5157</v>
      </c>
      <c r="E2906" s="5">
        <v>3.9140000000000001</v>
      </c>
      <c r="F2906" s="5">
        <v>0.72899999999999998</v>
      </c>
    </row>
    <row r="2907" spans="2:6" x14ac:dyDescent="0.2">
      <c r="B2907" s="9" t="s">
        <v>5455</v>
      </c>
      <c r="C2907" s="15" t="s">
        <v>4426</v>
      </c>
      <c r="D2907" s="12" t="str">
        <f>"0899-9457"</f>
        <v>0899-9457</v>
      </c>
      <c r="E2907" s="5">
        <v>2</v>
      </c>
      <c r="F2907" s="5">
        <v>0.39400000000000002</v>
      </c>
    </row>
    <row r="2908" spans="2:6" x14ac:dyDescent="0.2">
      <c r="B2908" s="9" t="s">
        <v>5456</v>
      </c>
      <c r="C2908" s="15" t="s">
        <v>4427</v>
      </c>
      <c r="D2908" s="12" t="str">
        <f>"1744-3121"</f>
        <v>1744-3121</v>
      </c>
      <c r="E2908" s="5">
        <v>1.466</v>
      </c>
      <c r="F2908" s="5">
        <v>0.10299999999999999</v>
      </c>
    </row>
    <row r="2909" spans="2:6" x14ac:dyDescent="0.2">
      <c r="B2909" s="9" t="s">
        <v>5457</v>
      </c>
      <c r="C2909" s="15" t="s">
        <v>4428</v>
      </c>
      <c r="D2909" s="12" t="str">
        <f>"0394-6320"</f>
        <v>0394-6320</v>
      </c>
      <c r="E2909" s="5">
        <v>3.2189999999999999</v>
      </c>
      <c r="F2909" s="5">
        <v>0.57099999999999995</v>
      </c>
    </row>
    <row r="2910" spans="2:6" x14ac:dyDescent="0.2">
      <c r="B2910" s="9" t="s">
        <v>5458</v>
      </c>
      <c r="C2910" s="15" t="s">
        <v>4429</v>
      </c>
      <c r="D2910" s="12" t="str">
        <f>"0734-743X"</f>
        <v>0734-743X</v>
      </c>
      <c r="E2910" s="5">
        <v>4.2080000000000002</v>
      </c>
      <c r="F2910" s="5">
        <v>0.83499999999999996</v>
      </c>
    </row>
    <row r="2911" spans="2:6" x14ac:dyDescent="0.2">
      <c r="B2911" s="9" t="s">
        <v>9951</v>
      </c>
      <c r="C2911" s="15" t="s">
        <v>9952</v>
      </c>
      <c r="D2911" s="12" t="str">
        <f>"2198-4034"</f>
        <v>2198-4034</v>
      </c>
      <c r="E2911" s="5">
        <v>2.3839999999999999</v>
      </c>
      <c r="F2911" s="5">
        <v>0.46200000000000002</v>
      </c>
    </row>
    <row r="2912" spans="2:6" x14ac:dyDescent="0.2">
      <c r="B2912" s="9" t="s">
        <v>5459</v>
      </c>
      <c r="C2912" s="15" t="s">
        <v>4430</v>
      </c>
      <c r="D2912" s="12" t="str">
        <f>"0955-9930"</f>
        <v>0955-9930</v>
      </c>
      <c r="E2912" s="5">
        <v>2.8959999999999999</v>
      </c>
      <c r="F2912" s="5">
        <v>0.52800000000000002</v>
      </c>
    </row>
    <row r="2913" spans="2:6" x14ac:dyDescent="0.2">
      <c r="B2913" s="9" t="s">
        <v>5460</v>
      </c>
      <c r="C2913" s="15" t="s">
        <v>4431</v>
      </c>
      <c r="D2913" s="12" t="str">
        <f>"1201-9712"</f>
        <v>1201-9712</v>
      </c>
      <c r="E2913" s="5">
        <v>3.6230000000000002</v>
      </c>
      <c r="F2913" s="5">
        <v>0.52200000000000002</v>
      </c>
    </row>
    <row r="2914" spans="2:6" x14ac:dyDescent="0.2">
      <c r="B2914" s="9" t="s">
        <v>1396</v>
      </c>
      <c r="C2914" s="15" t="s">
        <v>1397</v>
      </c>
      <c r="D2914" s="12" t="str">
        <f>"0268-4012"</f>
        <v>0268-4012</v>
      </c>
      <c r="E2914" s="5">
        <v>14.098000000000001</v>
      </c>
      <c r="F2914" s="5">
        <v>1</v>
      </c>
    </row>
    <row r="2915" spans="2:6" x14ac:dyDescent="0.2">
      <c r="B2915" s="9" t="s">
        <v>1394</v>
      </c>
      <c r="C2915" s="15" t="s">
        <v>1395</v>
      </c>
      <c r="D2915" s="12" t="str">
        <f>"0219-6220"</f>
        <v>0219-6220</v>
      </c>
      <c r="E2915" s="5">
        <v>2.2200000000000002</v>
      </c>
      <c r="F2915" s="5">
        <v>0.44</v>
      </c>
    </row>
    <row r="2916" spans="2:6" x14ac:dyDescent="0.2">
      <c r="B2916" s="9" t="s">
        <v>9953</v>
      </c>
      <c r="C2916" s="15" t="s">
        <v>9954</v>
      </c>
      <c r="D2916" s="12" t="str">
        <f>"1745-7300"</f>
        <v>1745-7300</v>
      </c>
      <c r="E2916" s="5">
        <v>1.5</v>
      </c>
      <c r="F2916" s="5">
        <v>0.19500000000000001</v>
      </c>
    </row>
    <row r="2917" spans="2:6" x14ac:dyDescent="0.2">
      <c r="B2917" s="9" t="s">
        <v>9955</v>
      </c>
      <c r="C2917" s="15" t="s">
        <v>9956</v>
      </c>
      <c r="D2917" s="12" t="str">
        <f>"1568-4156"</f>
        <v>1568-4156</v>
      </c>
      <c r="E2917" s="5">
        <v>5.12</v>
      </c>
      <c r="F2917" s="5">
        <v>0.95499999999999996</v>
      </c>
    </row>
    <row r="2918" spans="2:6" x14ac:dyDescent="0.2">
      <c r="B2918" s="9" t="s">
        <v>9957</v>
      </c>
      <c r="C2918" s="15" t="s">
        <v>9958</v>
      </c>
      <c r="D2918" s="12" t="str">
        <f>"1989-1660"</f>
        <v>1989-1660</v>
      </c>
      <c r="E2918" s="5">
        <v>3.137</v>
      </c>
      <c r="F2918" s="5">
        <v>0.59</v>
      </c>
    </row>
    <row r="2919" spans="2:6" x14ac:dyDescent="0.2">
      <c r="B2919" s="9" t="s">
        <v>1398</v>
      </c>
      <c r="C2919" s="15" t="s">
        <v>1399</v>
      </c>
      <c r="D2919" s="12" t="str">
        <f>"0147-1767"</f>
        <v>0147-1767</v>
      </c>
      <c r="E2919" s="5">
        <v>2.6669999999999998</v>
      </c>
      <c r="F2919" s="5">
        <v>0.73399999999999999</v>
      </c>
    </row>
    <row r="2920" spans="2:6" x14ac:dyDescent="0.2">
      <c r="B2920" s="9" t="s">
        <v>1400</v>
      </c>
      <c r="C2920" s="15" t="s">
        <v>1401</v>
      </c>
      <c r="D2920" s="12" t="str">
        <f>"1751-5521"</f>
        <v>1751-5521</v>
      </c>
      <c r="E2920" s="5">
        <v>2.8769999999999998</v>
      </c>
      <c r="F2920" s="5">
        <v>0.34200000000000003</v>
      </c>
    </row>
    <row r="2921" spans="2:6" x14ac:dyDescent="0.2">
      <c r="B2921" s="9" t="s">
        <v>1402</v>
      </c>
      <c r="C2921" s="15" t="s">
        <v>1403</v>
      </c>
      <c r="D2921" s="12" t="str">
        <f>"1368-2822"</f>
        <v>1368-2822</v>
      </c>
      <c r="E2921" s="5">
        <v>3.02</v>
      </c>
      <c r="F2921" s="5">
        <v>0.90600000000000003</v>
      </c>
    </row>
    <row r="2922" spans="2:6" x14ac:dyDescent="0.2">
      <c r="B2922" s="9" t="s">
        <v>1404</v>
      </c>
      <c r="C2922" s="15" t="s">
        <v>1405</v>
      </c>
      <c r="D2922" s="12" t="str">
        <f>"0160-2527"</f>
        <v>0160-2527</v>
      </c>
      <c r="E2922" s="5">
        <v>1.851</v>
      </c>
      <c r="F2922" s="5">
        <v>0.68899999999999995</v>
      </c>
    </row>
    <row r="2923" spans="2:6" x14ac:dyDescent="0.2">
      <c r="B2923" s="9" t="s">
        <v>5461</v>
      </c>
      <c r="C2923" s="15" t="s">
        <v>4432</v>
      </c>
      <c r="D2923" s="12" t="str">
        <f>"0937-9827"</f>
        <v>0937-9827</v>
      </c>
      <c r="E2923" s="5">
        <v>2.6859999999999999</v>
      </c>
      <c r="F2923" s="5">
        <v>0.82399999999999995</v>
      </c>
    </row>
    <row r="2924" spans="2:6" x14ac:dyDescent="0.2">
      <c r="B2924" s="9" t="s">
        <v>9959</v>
      </c>
      <c r="C2924" s="15" t="s">
        <v>9960</v>
      </c>
      <c r="D2924" s="12" t="str">
        <f>"1534-7346"</f>
        <v>1534-7346</v>
      </c>
      <c r="E2924" s="5">
        <v>2.0569999999999999</v>
      </c>
      <c r="F2924" s="5">
        <v>0.38600000000000001</v>
      </c>
    </row>
    <row r="2925" spans="2:6" x14ac:dyDescent="0.2">
      <c r="B2925" s="9" t="s">
        <v>5462</v>
      </c>
      <c r="C2925" s="15" t="s">
        <v>4433</v>
      </c>
      <c r="D2925" s="12" t="str">
        <f>"0890-6955"</f>
        <v>0890-6955</v>
      </c>
      <c r="E2925" s="5">
        <v>7.88</v>
      </c>
      <c r="F2925" s="5">
        <v>0.97</v>
      </c>
    </row>
    <row r="2926" spans="2:6" x14ac:dyDescent="0.2">
      <c r="B2926" s="9" t="s">
        <v>9961</v>
      </c>
      <c r="C2926" s="15" t="s">
        <v>9962</v>
      </c>
      <c r="D2926" s="12" t="str">
        <f>"1569-1713"</f>
        <v>1569-1713</v>
      </c>
      <c r="E2926" s="5">
        <v>4.0110000000000001</v>
      </c>
      <c r="F2926" s="5">
        <v>0.80500000000000005</v>
      </c>
    </row>
    <row r="2927" spans="2:6" x14ac:dyDescent="0.2">
      <c r="B2927" s="9" t="s">
        <v>5463</v>
      </c>
      <c r="C2927" s="15" t="s">
        <v>4434</v>
      </c>
      <c r="D2927" s="12" t="str">
        <f>"0020-7403"</f>
        <v>0020-7403</v>
      </c>
      <c r="E2927" s="5">
        <v>5.3289999999999997</v>
      </c>
      <c r="F2927" s="5">
        <v>0.91900000000000004</v>
      </c>
    </row>
    <row r="2928" spans="2:6" x14ac:dyDescent="0.2">
      <c r="B2928" s="9" t="s">
        <v>5464</v>
      </c>
      <c r="C2928" s="15" t="s">
        <v>4435</v>
      </c>
      <c r="D2928" s="12" t="str">
        <f>"1872-8243"</f>
        <v>1872-8243</v>
      </c>
      <c r="E2928" s="5">
        <v>4.0460000000000003</v>
      </c>
      <c r="F2928" s="5">
        <v>0.76600000000000001</v>
      </c>
    </row>
    <row r="2929" spans="2:6" x14ac:dyDescent="0.2">
      <c r="B2929" s="9" t="s">
        <v>5465</v>
      </c>
      <c r="C2929" s="15" t="s">
        <v>4436</v>
      </c>
      <c r="D2929" s="12" t="str">
        <f>"1438-4221"</f>
        <v>1438-4221</v>
      </c>
      <c r="E2929" s="5">
        <v>3.4729999999999999</v>
      </c>
      <c r="F2929" s="5">
        <v>0.496</v>
      </c>
    </row>
    <row r="2930" spans="2:6" x14ac:dyDescent="0.2">
      <c r="B2930" s="9" t="s">
        <v>1406</v>
      </c>
      <c r="C2930" s="15" t="s">
        <v>1407</v>
      </c>
      <c r="D2930" s="12" t="str">
        <f>"1940-4344"</f>
        <v>1940-4344</v>
      </c>
      <c r="E2930" s="5">
        <v>1.921</v>
      </c>
      <c r="F2930" s="5">
        <v>0.20699999999999999</v>
      </c>
    </row>
    <row r="2931" spans="2:6" x14ac:dyDescent="0.2">
      <c r="B2931" s="9" t="s">
        <v>5466</v>
      </c>
      <c r="C2931" s="15" t="s">
        <v>4437</v>
      </c>
      <c r="D2931" s="12" t="str">
        <f>"1478-5951"</f>
        <v>1478-5951</v>
      </c>
      <c r="E2931" s="5">
        <v>2.5470000000000002</v>
      </c>
      <c r="F2931" s="5">
        <v>0.52400000000000002</v>
      </c>
    </row>
    <row r="2932" spans="2:6" x14ac:dyDescent="0.2">
      <c r="B2932" s="9" t="s">
        <v>9963</v>
      </c>
      <c r="C2932" s="15" t="s">
        <v>9964</v>
      </c>
      <c r="D2932" s="12" t="str">
        <f>"1449-1907"</f>
        <v>1449-1907</v>
      </c>
      <c r="E2932" s="5">
        <v>3.738</v>
      </c>
      <c r="F2932" s="5">
        <v>0.74299999999999999</v>
      </c>
    </row>
    <row r="2933" spans="2:6" x14ac:dyDescent="0.2">
      <c r="B2933" s="9" t="s">
        <v>9965</v>
      </c>
      <c r="C2933" s="15" t="s">
        <v>9966</v>
      </c>
      <c r="D2933" s="12" t="str">
        <f>"1557-1874"</f>
        <v>1557-1874</v>
      </c>
      <c r="E2933" s="5">
        <v>3.8359999999999999</v>
      </c>
      <c r="F2933" s="5">
        <v>0.78</v>
      </c>
    </row>
    <row r="2934" spans="2:6" x14ac:dyDescent="0.2">
      <c r="B2934" s="9" t="s">
        <v>9967</v>
      </c>
      <c r="C2934" s="15" t="s">
        <v>9968</v>
      </c>
      <c r="D2934" s="12" t="str">
        <f>"1447-0349"</f>
        <v>1447-0349</v>
      </c>
      <c r="E2934" s="5">
        <v>3.5030000000000001</v>
      </c>
      <c r="F2934" s="5">
        <v>0.96799999999999997</v>
      </c>
    </row>
    <row r="2935" spans="2:6" x14ac:dyDescent="0.2">
      <c r="B2935" s="9" t="s">
        <v>9969</v>
      </c>
      <c r="C2935" s="15" t="s">
        <v>9970</v>
      </c>
      <c r="D2935" s="12" t="str">
        <f>"1462-3730"</f>
        <v>1462-3730</v>
      </c>
      <c r="E2935" s="5">
        <v>0.5</v>
      </c>
      <c r="F2935" s="5">
        <v>4.5999999999999999E-2</v>
      </c>
    </row>
    <row r="2936" spans="2:6" x14ac:dyDescent="0.2">
      <c r="B2936" s="9" t="s">
        <v>9971</v>
      </c>
      <c r="C2936" s="15" t="s">
        <v>9972</v>
      </c>
      <c r="D2936" s="12" t="str">
        <f>"1752-4458"</f>
        <v>1752-4458</v>
      </c>
      <c r="E2936" s="5">
        <v>2.94</v>
      </c>
      <c r="F2936" s="5">
        <v>0.47199999999999998</v>
      </c>
    </row>
    <row r="2937" spans="2:6" x14ac:dyDescent="0.2">
      <c r="B2937" s="9" t="s">
        <v>1408</v>
      </c>
      <c r="C2937" s="15" t="s">
        <v>1409</v>
      </c>
      <c r="D2937" s="12" t="str">
        <f>"1049-8931"</f>
        <v>1049-8931</v>
      </c>
      <c r="E2937" s="5">
        <v>4.0350000000000001</v>
      </c>
      <c r="F2937" s="5">
        <v>0.69</v>
      </c>
    </row>
    <row r="2938" spans="2:6" x14ac:dyDescent="0.2">
      <c r="B2938" s="9" t="s">
        <v>1410</v>
      </c>
      <c r="C2938" s="15" t="s">
        <v>1411</v>
      </c>
      <c r="D2938" s="12" t="str">
        <f>"0129-1831"</f>
        <v>0129-1831</v>
      </c>
      <c r="E2938" s="5">
        <v>1.1759999999999999</v>
      </c>
      <c r="F2938" s="5">
        <v>0.38200000000000001</v>
      </c>
    </row>
    <row r="2939" spans="2:6" x14ac:dyDescent="0.2">
      <c r="B2939" s="9" t="s">
        <v>5467</v>
      </c>
      <c r="C2939" s="15" t="s">
        <v>4438</v>
      </c>
      <c r="D2939" s="12" t="str">
        <f>"1107-3756"</f>
        <v>1107-3756</v>
      </c>
      <c r="E2939" s="5">
        <v>4.101</v>
      </c>
      <c r="F2939" s="5">
        <v>0.52100000000000002</v>
      </c>
    </row>
    <row r="2940" spans="2:6" x14ac:dyDescent="0.2">
      <c r="B2940" s="9" t="s">
        <v>5468</v>
      </c>
      <c r="C2940" s="15" t="s">
        <v>4439</v>
      </c>
      <c r="D2940" s="12" t="str">
        <f>"1422-0067"</f>
        <v>1422-0067</v>
      </c>
      <c r="E2940" s="5">
        <v>5.923</v>
      </c>
      <c r="F2940" s="5">
        <v>0.77700000000000002</v>
      </c>
    </row>
    <row r="2941" spans="2:6" x14ac:dyDescent="0.2">
      <c r="B2941" s="9" t="s">
        <v>9973</v>
      </c>
      <c r="C2941" s="15" t="s">
        <v>9974</v>
      </c>
      <c r="D2941" s="12" t="str">
        <f>"0717-9502"</f>
        <v>0717-9502</v>
      </c>
      <c r="E2941" s="5">
        <v>0.51900000000000002</v>
      </c>
      <c r="F2941" s="5">
        <v>9.5000000000000001E-2</v>
      </c>
    </row>
    <row r="2942" spans="2:6" x14ac:dyDescent="0.2">
      <c r="B2942" s="9" t="s">
        <v>1412</v>
      </c>
      <c r="C2942" s="15" t="s">
        <v>1413</v>
      </c>
      <c r="D2942" s="12" t="str">
        <f>"1178-2013"</f>
        <v>1178-2013</v>
      </c>
      <c r="E2942" s="5">
        <v>6.4</v>
      </c>
      <c r="F2942" s="5">
        <v>0.90200000000000002</v>
      </c>
    </row>
    <row r="2943" spans="2:6" x14ac:dyDescent="0.2">
      <c r="B2943" s="9" t="s">
        <v>5469</v>
      </c>
      <c r="C2943" s="15" t="s">
        <v>4440</v>
      </c>
      <c r="D2943" s="12" t="str">
        <f>"1461-1457"</f>
        <v>1461-1457</v>
      </c>
      <c r="E2943" s="5">
        <v>5.1760000000000002</v>
      </c>
      <c r="F2943" s="5">
        <v>0.83299999999999996</v>
      </c>
    </row>
    <row r="2944" spans="2:6" x14ac:dyDescent="0.2">
      <c r="B2944" s="9" t="s">
        <v>5470</v>
      </c>
      <c r="C2944" s="15" t="s">
        <v>4441</v>
      </c>
      <c r="D2944" s="12" t="str">
        <f>"0020-7454"</f>
        <v>0020-7454</v>
      </c>
      <c r="E2944" s="5">
        <v>2.2919999999999998</v>
      </c>
      <c r="F2944" s="5">
        <v>0.20100000000000001</v>
      </c>
    </row>
    <row r="2945" spans="2:6" x14ac:dyDescent="0.2">
      <c r="B2945" s="9" t="s">
        <v>9975</v>
      </c>
      <c r="C2945" s="15" t="s">
        <v>9976</v>
      </c>
      <c r="D2945" s="12" t="str">
        <f>"2040-7947"</f>
        <v>2040-7947</v>
      </c>
      <c r="E2945" s="5">
        <v>2.7469999999999999</v>
      </c>
      <c r="F2945" s="5">
        <v>0.69399999999999995</v>
      </c>
    </row>
    <row r="2946" spans="2:6" x14ac:dyDescent="0.2">
      <c r="B2946" s="9" t="s">
        <v>1414</v>
      </c>
      <c r="C2946" s="15" t="s">
        <v>1415</v>
      </c>
      <c r="D2946" s="12" t="str">
        <f>"0271-2091"</f>
        <v>0271-2091</v>
      </c>
      <c r="E2946" s="5">
        <v>2.1070000000000002</v>
      </c>
      <c r="F2946" s="5">
        <v>0.54600000000000004</v>
      </c>
    </row>
    <row r="2947" spans="2:6" x14ac:dyDescent="0.2">
      <c r="B2947" s="9" t="s">
        <v>9977</v>
      </c>
      <c r="C2947" s="15" t="s">
        <v>9978</v>
      </c>
      <c r="D2947" s="12" t="str">
        <f>"2047-3087"</f>
        <v>2047-3087</v>
      </c>
      <c r="E2947" s="5">
        <v>1.222</v>
      </c>
      <c r="F2947" s="5">
        <v>0.214</v>
      </c>
    </row>
    <row r="2948" spans="2:6" x14ac:dyDescent="0.2">
      <c r="B2948" s="9" t="s">
        <v>9979</v>
      </c>
      <c r="C2948" s="15" t="s">
        <v>9980</v>
      </c>
      <c r="D2948" s="12" t="str">
        <f>"1322-7114"</f>
        <v>1322-7114</v>
      </c>
      <c r="E2948" s="5">
        <v>2.0659999999999998</v>
      </c>
      <c r="F2948" s="5">
        <v>0.55600000000000005</v>
      </c>
    </row>
    <row r="2949" spans="2:6" x14ac:dyDescent="0.2">
      <c r="B2949" s="9" t="s">
        <v>5471</v>
      </c>
      <c r="C2949" s="15" t="s">
        <v>4442</v>
      </c>
      <c r="D2949" s="12" t="str">
        <f>"0020-7489"</f>
        <v>0020-7489</v>
      </c>
      <c r="E2949" s="5">
        <v>5.8369999999999997</v>
      </c>
      <c r="F2949" s="5">
        <v>1</v>
      </c>
    </row>
    <row r="2950" spans="2:6" x14ac:dyDescent="0.2">
      <c r="B2950" s="9" t="s">
        <v>5472</v>
      </c>
      <c r="C2950" s="15" t="s">
        <v>4443</v>
      </c>
      <c r="D2950" s="12" t="str">
        <f>"0307-0565"</f>
        <v>0307-0565</v>
      </c>
      <c r="E2950" s="5">
        <v>5.0949999999999998</v>
      </c>
      <c r="F2950" s="5">
        <v>0.75</v>
      </c>
    </row>
    <row r="2951" spans="2:6" x14ac:dyDescent="0.2">
      <c r="B2951" s="9" t="s">
        <v>5473</v>
      </c>
      <c r="C2951" s="15" t="s">
        <v>4444</v>
      </c>
      <c r="D2951" s="12" t="str">
        <f>"0959-289X"</f>
        <v>0959-289X</v>
      </c>
      <c r="E2951" s="5">
        <v>2.6030000000000002</v>
      </c>
      <c r="F2951" s="5">
        <v>0.45800000000000002</v>
      </c>
    </row>
    <row r="2952" spans="2:6" x14ac:dyDescent="0.2">
      <c r="B2952" s="9" t="s">
        <v>9981</v>
      </c>
      <c r="C2952" s="15" t="s">
        <v>9982</v>
      </c>
      <c r="D2952" s="12" t="str">
        <f>"1232-1087"</f>
        <v>1232-1087</v>
      </c>
      <c r="E2952" s="5">
        <v>1.843</v>
      </c>
      <c r="F2952" s="5">
        <v>0.28999999999999998</v>
      </c>
    </row>
    <row r="2953" spans="2:6" x14ac:dyDescent="0.2">
      <c r="B2953" s="9" t="s">
        <v>9983</v>
      </c>
      <c r="C2953" s="15" t="s">
        <v>9984</v>
      </c>
      <c r="D2953" s="12" t="str">
        <f>"1080-3548"</f>
        <v>1080-3548</v>
      </c>
      <c r="E2953" s="5">
        <v>2.141</v>
      </c>
      <c r="F2953" s="5">
        <v>0.39200000000000002</v>
      </c>
    </row>
    <row r="2954" spans="2:6" ht="25.5" x14ac:dyDescent="0.2">
      <c r="B2954" s="9" t="s">
        <v>1416</v>
      </c>
      <c r="C2954" s="15" t="s">
        <v>1417</v>
      </c>
      <c r="D2954" s="12" t="str">
        <f>"1552-6933"</f>
        <v>1552-6933</v>
      </c>
      <c r="E2954" s="5">
        <v>1.8640000000000001</v>
      </c>
      <c r="F2954" s="5">
        <v>0.33300000000000002</v>
      </c>
    </row>
    <row r="2955" spans="2:6" x14ac:dyDescent="0.2">
      <c r="B2955" s="9" t="s">
        <v>9985</v>
      </c>
      <c r="C2955" s="15" t="s">
        <v>9986</v>
      </c>
      <c r="D2955" s="12" t="str">
        <f>"1053-5381"</f>
        <v>1053-5381</v>
      </c>
      <c r="E2955" s="5">
        <v>0.67</v>
      </c>
      <c r="F2955" s="5">
        <v>0.125</v>
      </c>
    </row>
    <row r="2956" spans="2:6" x14ac:dyDescent="0.2">
      <c r="B2956" s="9" t="s">
        <v>9987</v>
      </c>
      <c r="C2956" s="15" t="s">
        <v>9988</v>
      </c>
      <c r="D2956" s="12" t="str">
        <f>"1748-3735"</f>
        <v>1748-3735</v>
      </c>
      <c r="E2956" s="5">
        <v>2.1150000000000002</v>
      </c>
      <c r="F2956" s="5">
        <v>0.60299999999999998</v>
      </c>
    </row>
    <row r="2957" spans="2:6" x14ac:dyDescent="0.2">
      <c r="B2957" s="9" t="s">
        <v>5474</v>
      </c>
      <c r="C2957" s="15" t="s">
        <v>2998</v>
      </c>
      <c r="D2957" s="12" t="str">
        <f>"1019-6439"</f>
        <v>1019-6439</v>
      </c>
      <c r="E2957" s="5">
        <v>5.65</v>
      </c>
      <c r="F2957" s="5">
        <v>0.69299999999999995</v>
      </c>
    </row>
    <row r="2958" spans="2:6" x14ac:dyDescent="0.2">
      <c r="B2958" s="9" t="s">
        <v>9989</v>
      </c>
      <c r="C2958" s="15" t="s">
        <v>9990</v>
      </c>
      <c r="D2958" s="12" t="str">
        <f>"2222-3959"</f>
        <v>2222-3959</v>
      </c>
      <c r="E2958" s="5">
        <v>1.7789999999999999</v>
      </c>
      <c r="F2958" s="5">
        <v>0.19400000000000001</v>
      </c>
    </row>
    <row r="2959" spans="2:6" x14ac:dyDescent="0.2">
      <c r="B2959" s="9" t="s">
        <v>9991</v>
      </c>
      <c r="C2959" s="15" t="s">
        <v>9992</v>
      </c>
      <c r="D2959" s="12" t="str">
        <f>"1687-9384"</f>
        <v>1687-9384</v>
      </c>
      <c r="E2959" s="5">
        <v>1.0329999999999999</v>
      </c>
      <c r="F2959" s="5">
        <v>0.16200000000000001</v>
      </c>
    </row>
    <row r="2960" spans="2:6" x14ac:dyDescent="0.2">
      <c r="B2960" s="9" t="s">
        <v>9993</v>
      </c>
      <c r="C2960" s="15" t="s">
        <v>9994</v>
      </c>
      <c r="D2960" s="12" t="str">
        <f>"1559-9612"</f>
        <v>1559-9612</v>
      </c>
      <c r="E2960" s="5">
        <v>1.9</v>
      </c>
      <c r="F2960" s="5">
        <v>0.38300000000000001</v>
      </c>
    </row>
    <row r="2961" spans="2:6" x14ac:dyDescent="0.2">
      <c r="B2961" s="9" t="s">
        <v>5475</v>
      </c>
      <c r="C2961" s="15" t="s">
        <v>2999</v>
      </c>
      <c r="D2961" s="12" t="str">
        <f>"0882-2786"</f>
        <v>0882-2786</v>
      </c>
      <c r="E2961" s="5">
        <v>2.8039999999999998</v>
      </c>
      <c r="F2961" s="5">
        <v>0.65900000000000003</v>
      </c>
    </row>
    <row r="2962" spans="2:6" x14ac:dyDescent="0.2">
      <c r="B2962" s="9" t="s">
        <v>5476</v>
      </c>
      <c r="C2962" s="15" t="s">
        <v>3000</v>
      </c>
      <c r="D2962" s="12" t="str">
        <f>"0901-5027"</f>
        <v>0901-5027</v>
      </c>
      <c r="E2962" s="5">
        <v>2.7890000000000001</v>
      </c>
      <c r="F2962" s="5">
        <v>0.63700000000000001</v>
      </c>
    </row>
    <row r="2963" spans="2:6" x14ac:dyDescent="0.2">
      <c r="B2963" s="9" t="s">
        <v>9995</v>
      </c>
      <c r="C2963" s="15" t="s">
        <v>9996</v>
      </c>
      <c r="D2963" s="12" t="str">
        <f>"2049-3169"</f>
        <v>2049-3169</v>
      </c>
      <c r="E2963" s="5">
        <v>6.3440000000000003</v>
      </c>
      <c r="F2963" s="5">
        <v>0.96699999999999997</v>
      </c>
    </row>
    <row r="2964" spans="2:6" x14ac:dyDescent="0.2">
      <c r="B2964" s="9" t="s">
        <v>1418</v>
      </c>
      <c r="C2964" s="15" t="s">
        <v>1419</v>
      </c>
      <c r="D2964" s="12" t="str">
        <f>"1746-0689"</f>
        <v>1746-0689</v>
      </c>
      <c r="E2964" s="5">
        <v>2.149</v>
      </c>
      <c r="F2964" s="5">
        <v>0.496</v>
      </c>
    </row>
    <row r="2965" spans="2:6" x14ac:dyDescent="0.2">
      <c r="B2965" s="9" t="s">
        <v>1420</v>
      </c>
      <c r="C2965" s="15" t="s">
        <v>1421</v>
      </c>
      <c r="D2965" s="12" t="str">
        <f>"0960-7439"</f>
        <v>0960-7439</v>
      </c>
      <c r="E2965" s="5">
        <v>3.4550000000000001</v>
      </c>
      <c r="F2965" s="5">
        <v>0.83699999999999997</v>
      </c>
    </row>
    <row r="2966" spans="2:6" x14ac:dyDescent="0.2">
      <c r="B2966" s="9" t="s">
        <v>9997</v>
      </c>
      <c r="C2966" s="15" t="s">
        <v>9998</v>
      </c>
      <c r="D2966" s="12" t="str">
        <f>"1879-9817"</f>
        <v>1879-9817</v>
      </c>
      <c r="E2966" s="5">
        <v>1.393</v>
      </c>
      <c r="F2966" s="5">
        <v>0.24099999999999999</v>
      </c>
    </row>
    <row r="2967" spans="2:6" x14ac:dyDescent="0.2">
      <c r="B2967" s="9" t="s">
        <v>5477</v>
      </c>
      <c r="C2967" s="15" t="s">
        <v>3001</v>
      </c>
      <c r="D2967" s="12" t="str">
        <f>"0020-7519"</f>
        <v>0020-7519</v>
      </c>
      <c r="E2967" s="5">
        <v>3.9809999999999999</v>
      </c>
      <c r="F2967" s="5">
        <v>0.84199999999999997</v>
      </c>
    </row>
    <row r="2968" spans="2:6" x14ac:dyDescent="0.2">
      <c r="B2968" s="9" t="s">
        <v>9999</v>
      </c>
      <c r="C2968" s="15" t="s">
        <v>10000</v>
      </c>
      <c r="D2968" s="12" t="str">
        <f>"2211-3207"</f>
        <v>2211-3207</v>
      </c>
      <c r="E2968" s="5">
        <v>4.077</v>
      </c>
      <c r="F2968" s="5">
        <v>0.86799999999999999</v>
      </c>
    </row>
    <row r="2969" spans="2:6" x14ac:dyDescent="0.2">
      <c r="B2969" s="9" t="s">
        <v>10001</v>
      </c>
      <c r="C2969" s="15" t="s">
        <v>10002</v>
      </c>
      <c r="D2969" s="12" t="str">
        <f>"2213-2244"</f>
        <v>2213-2244</v>
      </c>
      <c r="E2969" s="5">
        <v>2.6739999999999999</v>
      </c>
      <c r="F2969" s="5">
        <v>0.55300000000000005</v>
      </c>
    </row>
    <row r="2970" spans="2:6" x14ac:dyDescent="0.2">
      <c r="B2970" s="9" t="s">
        <v>10003</v>
      </c>
      <c r="C2970" s="15" t="s">
        <v>10004</v>
      </c>
      <c r="D2970" s="12" t="str">
        <f>"2588-9109"</f>
        <v>2588-9109</v>
      </c>
      <c r="E2970" s="5">
        <v>5.6000000000000001E-2</v>
      </c>
      <c r="F2970" s="5">
        <v>2.3E-2</v>
      </c>
    </row>
    <row r="2971" spans="2:6" x14ac:dyDescent="0.2">
      <c r="B2971" s="9" t="s">
        <v>5478</v>
      </c>
      <c r="C2971" s="15" t="s">
        <v>3002</v>
      </c>
      <c r="D2971" s="12" t="str">
        <f>"0165-5876"</f>
        <v>0165-5876</v>
      </c>
      <c r="E2971" s="5">
        <v>1.675</v>
      </c>
      <c r="F2971" s="5">
        <v>0.318</v>
      </c>
    </row>
    <row r="2972" spans="2:6" x14ac:dyDescent="0.2">
      <c r="B2972" s="9" t="s">
        <v>5479</v>
      </c>
      <c r="C2972" s="15" t="s">
        <v>3003</v>
      </c>
      <c r="D2972" s="12" t="str">
        <f>"1573-3149"</f>
        <v>1573-3149</v>
      </c>
      <c r="E2972" s="5">
        <v>1.931</v>
      </c>
      <c r="F2972" s="5">
        <v>0.14499999999999999</v>
      </c>
    </row>
    <row r="2973" spans="2:6" x14ac:dyDescent="0.2">
      <c r="B2973" s="9" t="s">
        <v>10005</v>
      </c>
      <c r="C2973" s="15" t="s">
        <v>10006</v>
      </c>
      <c r="D2973" s="12" t="str">
        <f>"2474-8668"</f>
        <v>2474-8668</v>
      </c>
      <c r="E2973" s="5">
        <v>1.95</v>
      </c>
      <c r="F2973" s="5">
        <v>0.26100000000000001</v>
      </c>
    </row>
    <row r="2974" spans="2:6" x14ac:dyDescent="0.2">
      <c r="B2974" s="9" t="s">
        <v>5480</v>
      </c>
      <c r="C2974" s="15" t="s">
        <v>3004</v>
      </c>
      <c r="D2974" s="12" t="str">
        <f>"0198-7569"</f>
        <v>0198-7569</v>
      </c>
      <c r="E2974" s="5">
        <v>1.84</v>
      </c>
      <c r="F2974" s="5">
        <v>0.23100000000000001</v>
      </c>
    </row>
    <row r="2975" spans="2:6" x14ac:dyDescent="0.2">
      <c r="B2975" s="9" t="s">
        <v>1422</v>
      </c>
      <c r="C2975" s="15" t="s">
        <v>3005</v>
      </c>
      <c r="D2975" s="12" t="str">
        <f>"0378-5173"</f>
        <v>0378-5173</v>
      </c>
      <c r="E2975" s="5">
        <v>5.875</v>
      </c>
      <c r="F2975" s="5">
        <v>0.86899999999999999</v>
      </c>
    </row>
    <row r="2976" spans="2:6" x14ac:dyDescent="0.2">
      <c r="B2976" s="9" t="s">
        <v>10007</v>
      </c>
      <c r="C2976" s="15" t="s">
        <v>10008</v>
      </c>
      <c r="D2976" s="12" t="str">
        <f>"1811-7775"</f>
        <v>1811-7775</v>
      </c>
      <c r="E2976" s="5">
        <v>0.751</v>
      </c>
      <c r="F2976" s="5">
        <v>4.3999999999999997E-2</v>
      </c>
    </row>
    <row r="2977" spans="2:6" x14ac:dyDescent="0.2">
      <c r="B2977" s="9" t="s">
        <v>5481</v>
      </c>
      <c r="C2977" s="15" t="s">
        <v>3006</v>
      </c>
      <c r="D2977" s="12" t="str">
        <f>"1110-662X"</f>
        <v>1110-662X</v>
      </c>
      <c r="E2977" s="5">
        <v>2.113</v>
      </c>
      <c r="F2977" s="5">
        <v>0.45500000000000002</v>
      </c>
    </row>
    <row r="2978" spans="2:6" x14ac:dyDescent="0.2">
      <c r="B2978" s="9" t="s">
        <v>5482</v>
      </c>
      <c r="C2978" s="15" t="s">
        <v>3007</v>
      </c>
      <c r="D2978" s="12" t="str">
        <f>"0749-6419"</f>
        <v>0749-6419</v>
      </c>
      <c r="E2978" s="5">
        <v>7.0810000000000004</v>
      </c>
      <c r="F2978" s="5">
        <v>0.96299999999999997</v>
      </c>
    </row>
    <row r="2979" spans="2:6" x14ac:dyDescent="0.2">
      <c r="B2979" s="9" t="s">
        <v>10009</v>
      </c>
      <c r="C2979" s="15" t="s">
        <v>10010</v>
      </c>
      <c r="D2979" s="12" t="str">
        <f>"2234-7593"</f>
        <v>2234-7593</v>
      </c>
      <c r="E2979" s="5">
        <v>2.1059999999999999</v>
      </c>
      <c r="F2979" s="5">
        <v>0.504</v>
      </c>
    </row>
    <row r="2980" spans="2:6" x14ac:dyDescent="0.2">
      <c r="B2980" s="9" t="s">
        <v>10011</v>
      </c>
      <c r="C2980" s="15" t="s">
        <v>10012</v>
      </c>
      <c r="D2980" s="12" t="str">
        <f>"2288-6206"</f>
        <v>2288-6206</v>
      </c>
      <c r="E2980" s="5">
        <v>5.6710000000000003</v>
      </c>
      <c r="F2980" s="5">
        <v>0.94</v>
      </c>
    </row>
    <row r="2981" spans="2:6" x14ac:dyDescent="0.2">
      <c r="B2981" s="9" t="s">
        <v>5483</v>
      </c>
      <c r="C2981" s="15" t="s">
        <v>3008</v>
      </c>
      <c r="D2981" s="12" t="str">
        <f>"0308-0161"</f>
        <v>0308-0161</v>
      </c>
      <c r="E2981" s="5">
        <v>2.028</v>
      </c>
      <c r="F2981" s="5">
        <v>0.45600000000000002</v>
      </c>
    </row>
    <row r="2982" spans="2:6" x14ac:dyDescent="0.2">
      <c r="B2982" s="9" t="s">
        <v>5484</v>
      </c>
      <c r="C2982" s="15" t="s">
        <v>3009</v>
      </c>
      <c r="D2982" s="12" t="str">
        <f>"0893-2174"</f>
        <v>0893-2174</v>
      </c>
      <c r="E2982" s="5">
        <v>1.681</v>
      </c>
      <c r="F2982" s="5">
        <v>0.187</v>
      </c>
    </row>
    <row r="2983" spans="2:6" x14ac:dyDescent="0.2">
      <c r="B2983" s="9" t="s">
        <v>5485</v>
      </c>
      <c r="C2983" s="15" t="s">
        <v>3010</v>
      </c>
      <c r="D2983" s="12" t="str">
        <f>"1471-1788"</f>
        <v>1471-1788</v>
      </c>
      <c r="E2983" s="5">
        <v>1.8120000000000001</v>
      </c>
      <c r="F2983" s="5">
        <v>0.24099999999999999</v>
      </c>
    </row>
    <row r="2984" spans="2:6" x14ac:dyDescent="0.2">
      <c r="B2984" s="9" t="s">
        <v>5486</v>
      </c>
      <c r="C2984" s="15" t="s">
        <v>3011</v>
      </c>
      <c r="D2984" s="12" t="str">
        <f>"0091-2174"</f>
        <v>0091-2174</v>
      </c>
      <c r="E2984" s="5">
        <v>1.21</v>
      </c>
      <c r="F2984" s="5">
        <v>0.14799999999999999</v>
      </c>
    </row>
    <row r="2985" spans="2:6" x14ac:dyDescent="0.2">
      <c r="B2985" s="9" t="s">
        <v>1423</v>
      </c>
      <c r="C2985" s="15" t="s">
        <v>1424</v>
      </c>
      <c r="D2985" s="12" t="str">
        <f>"0020-7578"</f>
        <v>0020-7578</v>
      </c>
      <c r="E2985" s="5">
        <v>0.70399999999999996</v>
      </c>
      <c r="F2985" s="5">
        <v>0.69199999999999995</v>
      </c>
    </row>
    <row r="2986" spans="2:6" x14ac:dyDescent="0.2">
      <c r="B2986" s="9" t="s">
        <v>1425</v>
      </c>
      <c r="C2986" s="15" t="s">
        <v>1426</v>
      </c>
      <c r="D2986" s="12" t="str">
        <f>"0020-7594"</f>
        <v>0020-7594</v>
      </c>
      <c r="E2986" s="5">
        <v>2</v>
      </c>
      <c r="F2986" s="5">
        <v>0.439</v>
      </c>
    </row>
    <row r="2987" spans="2:6" x14ac:dyDescent="0.2">
      <c r="B2987" s="9" t="s">
        <v>10013</v>
      </c>
      <c r="C2987" s="15" t="s">
        <v>10014</v>
      </c>
      <c r="D2987" s="12" t="str">
        <f>"1050-8619"</f>
        <v>1050-8619</v>
      </c>
      <c r="E2987" s="5">
        <v>2.0289999999999999</v>
      </c>
      <c r="F2987" s="5">
        <v>0.45300000000000001</v>
      </c>
    </row>
    <row r="2988" spans="2:6" x14ac:dyDescent="0.2">
      <c r="B2988" s="9" t="s">
        <v>10015</v>
      </c>
      <c r="C2988" s="15" t="s">
        <v>10016</v>
      </c>
      <c r="D2988" s="12" t="str">
        <f>"2011-7922"</f>
        <v>2011-7922</v>
      </c>
      <c r="E2988" s="5">
        <v>0.8</v>
      </c>
      <c r="F2988" s="5">
        <v>0.122</v>
      </c>
    </row>
    <row r="2989" spans="2:6" x14ac:dyDescent="0.2">
      <c r="B2989" s="9" t="s">
        <v>5487</v>
      </c>
      <c r="C2989" s="15" t="s">
        <v>3012</v>
      </c>
      <c r="D2989" s="12" t="str">
        <f>"0167-8760"</f>
        <v>0167-8760</v>
      </c>
      <c r="E2989" s="5">
        <v>2.9969999999999999</v>
      </c>
      <c r="F2989" s="5">
        <v>0.63300000000000001</v>
      </c>
    </row>
    <row r="2990" spans="2:6" x14ac:dyDescent="0.2">
      <c r="B2990" s="9" t="s">
        <v>1427</v>
      </c>
      <c r="C2990" s="15" t="s">
        <v>1428</v>
      </c>
      <c r="D2990" s="12" t="str">
        <f>"1661-8556"</f>
        <v>1661-8556</v>
      </c>
      <c r="E2990" s="5">
        <v>3.38</v>
      </c>
      <c r="F2990" s="5">
        <v>0.72399999999999998</v>
      </c>
    </row>
    <row r="2991" spans="2:6" x14ac:dyDescent="0.2">
      <c r="B2991" s="9" t="s">
        <v>5488</v>
      </c>
      <c r="C2991" s="15" t="s">
        <v>3013</v>
      </c>
      <c r="D2991" s="12" t="str">
        <f>"1353-4505"</f>
        <v>1353-4505</v>
      </c>
      <c r="E2991" s="5">
        <v>2.0379999999999998</v>
      </c>
      <c r="F2991" s="5">
        <v>0.28399999999999997</v>
      </c>
    </row>
    <row r="2992" spans="2:6" x14ac:dyDescent="0.2">
      <c r="B2992" s="9" t="s">
        <v>10017</v>
      </c>
      <c r="C2992" s="15" t="s">
        <v>10018</v>
      </c>
      <c r="D2992" s="12" t="str">
        <f>"1609-4069"</f>
        <v>1609-4069</v>
      </c>
      <c r="E2992" s="5">
        <v>2.7669999999999999</v>
      </c>
      <c r="F2992" s="5">
        <v>0.74299999999999999</v>
      </c>
    </row>
    <row r="2993" spans="2:6" x14ac:dyDescent="0.2">
      <c r="B2993" s="9" t="s">
        <v>10019</v>
      </c>
      <c r="C2993" s="15" t="s">
        <v>10020</v>
      </c>
      <c r="D2993" s="12" t="str">
        <f>"1748-2623"</f>
        <v>1748-2623</v>
      </c>
      <c r="E2993" s="5">
        <v>1.9470000000000001</v>
      </c>
      <c r="F2993" s="5">
        <v>0.50800000000000001</v>
      </c>
    </row>
    <row r="2994" spans="2:6" x14ac:dyDescent="0.2">
      <c r="B2994" s="9" t="s">
        <v>5489</v>
      </c>
      <c r="C2994" s="15" t="s">
        <v>3014</v>
      </c>
      <c r="D2994" s="12" t="str">
        <f>"0955-3002"</f>
        <v>0955-3002</v>
      </c>
      <c r="E2994" s="5">
        <v>2.694</v>
      </c>
      <c r="F2994" s="5">
        <v>0.91200000000000003</v>
      </c>
    </row>
    <row r="2995" spans="2:6" x14ac:dyDescent="0.2">
      <c r="B2995" s="9" t="s">
        <v>5490</v>
      </c>
      <c r="C2995" s="15" t="s">
        <v>3015</v>
      </c>
      <c r="D2995" s="12" t="str">
        <f>"0360-3016"</f>
        <v>0360-3016</v>
      </c>
      <c r="E2995" s="5">
        <v>7.0380000000000003</v>
      </c>
      <c r="F2995" s="5">
        <v>0.92500000000000004</v>
      </c>
    </row>
    <row r="2996" spans="2:6" x14ac:dyDescent="0.2">
      <c r="B2996" s="9" t="s">
        <v>10021</v>
      </c>
      <c r="C2996" s="15" t="s">
        <v>10022</v>
      </c>
      <c r="D2996" s="12" t="str">
        <f>"2322-3243"</f>
        <v>2322-3243</v>
      </c>
      <c r="E2996" s="5">
        <v>0.77900000000000003</v>
      </c>
      <c r="F2996" s="5">
        <v>0.03</v>
      </c>
    </row>
    <row r="2997" spans="2:6" x14ac:dyDescent="0.2">
      <c r="B2997" s="9" t="s">
        <v>5491</v>
      </c>
      <c r="C2997" s="15" t="s">
        <v>3016</v>
      </c>
      <c r="D2997" s="12" t="str">
        <f>"0140-7007"</f>
        <v>0140-7007</v>
      </c>
      <c r="E2997" s="5">
        <v>3.629</v>
      </c>
      <c r="F2997" s="5">
        <v>0.752</v>
      </c>
    </row>
    <row r="2998" spans="2:6" x14ac:dyDescent="0.2">
      <c r="B2998" s="9" t="s">
        <v>1429</v>
      </c>
      <c r="C2998" s="15" t="s">
        <v>1430</v>
      </c>
      <c r="D2998" s="12" t="str">
        <f>"0342-5282"</f>
        <v>0342-5282</v>
      </c>
      <c r="E2998" s="5">
        <v>1.4790000000000001</v>
      </c>
      <c r="F2998" s="5">
        <v>0.193</v>
      </c>
    </row>
    <row r="2999" spans="2:6" ht="25.5" x14ac:dyDescent="0.2">
      <c r="B2999" s="9" t="s">
        <v>1431</v>
      </c>
      <c r="C2999" s="15" t="s">
        <v>1432</v>
      </c>
      <c r="D2999" s="12" t="str">
        <f>"1096-4290"</f>
        <v>1096-4290</v>
      </c>
      <c r="E2999" s="5">
        <v>1.694</v>
      </c>
      <c r="F2999" s="5">
        <v>0.308</v>
      </c>
    </row>
    <row r="3000" spans="2:6" x14ac:dyDescent="0.2">
      <c r="B3000" s="9" t="s">
        <v>10023</v>
      </c>
      <c r="C3000" s="15" t="s">
        <v>10024</v>
      </c>
      <c r="D3000" s="12" t="str">
        <f>"1756-1841"</f>
        <v>1756-1841</v>
      </c>
      <c r="E3000" s="5">
        <v>2.4540000000000002</v>
      </c>
      <c r="F3000" s="5">
        <v>0.20599999999999999</v>
      </c>
    </row>
    <row r="3001" spans="2:6" x14ac:dyDescent="0.2">
      <c r="B3001" s="9" t="s">
        <v>1433</v>
      </c>
      <c r="C3001" s="15" t="s">
        <v>1434</v>
      </c>
      <c r="D3001" s="12" t="str">
        <f>"0965-075X"</f>
        <v>0965-075X</v>
      </c>
      <c r="E3001" s="5">
        <v>1.84</v>
      </c>
      <c r="F3001" s="5">
        <v>0.26500000000000001</v>
      </c>
    </row>
    <row r="3002" spans="2:6" x14ac:dyDescent="0.2">
      <c r="B3002" s="9" t="s">
        <v>10025</v>
      </c>
      <c r="C3002" s="15" t="s">
        <v>10026</v>
      </c>
      <c r="D3002" s="12" t="str">
        <f>"1931-7611"</f>
        <v>1931-7611</v>
      </c>
      <c r="E3002" s="5">
        <v>1.944</v>
      </c>
      <c r="F3002" s="5">
        <v>0.505</v>
      </c>
    </row>
    <row r="3003" spans="2:6" x14ac:dyDescent="0.2">
      <c r="B3003" s="9" t="s">
        <v>1435</v>
      </c>
      <c r="C3003" s="15" t="s">
        <v>1436</v>
      </c>
      <c r="D3003" s="12" t="str">
        <f>"0020-7640"</f>
        <v>0020-7640</v>
      </c>
      <c r="E3003" s="5">
        <v>2.625</v>
      </c>
      <c r="F3003" s="5">
        <v>0.42099999999999999</v>
      </c>
    </row>
    <row r="3004" spans="2:6" x14ac:dyDescent="0.2">
      <c r="B3004" s="9" t="s">
        <v>10027</v>
      </c>
      <c r="C3004" s="15" t="s">
        <v>10028</v>
      </c>
      <c r="D3004" s="12" t="str">
        <f>"1464-5300"</f>
        <v>1464-5300</v>
      </c>
      <c r="E3004" s="5">
        <v>3.0609999999999999</v>
      </c>
      <c r="F3004" s="5">
        <v>0.81699999999999995</v>
      </c>
    </row>
    <row r="3005" spans="2:6" x14ac:dyDescent="0.2">
      <c r="B3005" s="9" t="s">
        <v>10029</v>
      </c>
      <c r="C3005" s="15" t="s">
        <v>10030</v>
      </c>
      <c r="D3005" s="12" t="str">
        <f>"1754-9507"</f>
        <v>1754-9507</v>
      </c>
      <c r="E3005" s="5">
        <v>2.484</v>
      </c>
      <c r="F3005" s="5">
        <v>0.84899999999999998</v>
      </c>
    </row>
    <row r="3006" spans="2:6" x14ac:dyDescent="0.2">
      <c r="B3006" s="9" t="s">
        <v>10031</v>
      </c>
      <c r="C3006" s="15" t="s">
        <v>10032</v>
      </c>
      <c r="D3006" s="12" t="str">
        <f>"1612-197X"</f>
        <v>1612-197X</v>
      </c>
      <c r="E3006" s="5">
        <v>3.3039999999999998</v>
      </c>
      <c r="F3006" s="5">
        <v>0.56599999999999995</v>
      </c>
    </row>
    <row r="3007" spans="2:6" x14ac:dyDescent="0.2">
      <c r="B3007" s="9" t="s">
        <v>5492</v>
      </c>
      <c r="C3007" s="15" t="s">
        <v>3017</v>
      </c>
      <c r="D3007" s="12" t="str">
        <f>"1526-484X"</f>
        <v>1526-484X</v>
      </c>
      <c r="E3007" s="5">
        <v>4.5990000000000002</v>
      </c>
      <c r="F3007" s="5">
        <v>0.84099999999999997</v>
      </c>
    </row>
    <row r="3008" spans="2:6" x14ac:dyDescent="0.2">
      <c r="B3008" s="9" t="s">
        <v>10033</v>
      </c>
      <c r="C3008" s="15" t="s">
        <v>10034</v>
      </c>
      <c r="D3008" s="12" t="str">
        <f>"1555-0265"</f>
        <v>1555-0265</v>
      </c>
      <c r="E3008" s="5">
        <v>4.01</v>
      </c>
      <c r="F3008" s="5">
        <v>0.76100000000000001</v>
      </c>
    </row>
    <row r="3009" spans="2:6" x14ac:dyDescent="0.2">
      <c r="B3009" s="9" t="s">
        <v>5493</v>
      </c>
      <c r="C3009" s="15" t="s">
        <v>3018</v>
      </c>
      <c r="D3009" s="12" t="str">
        <f>"0047-0767"</f>
        <v>0047-0767</v>
      </c>
      <c r="E3009" s="5">
        <v>0.6</v>
      </c>
      <c r="F3009" s="5">
        <v>7.9000000000000001E-2</v>
      </c>
    </row>
    <row r="3010" spans="2:6" x14ac:dyDescent="0.2">
      <c r="B3010" s="9" t="s">
        <v>5494</v>
      </c>
      <c r="C3010" s="15" t="s">
        <v>3019</v>
      </c>
      <c r="D3010" s="12" t="str">
        <f>"0172-4622"</f>
        <v>0172-4622</v>
      </c>
      <c r="E3010" s="5">
        <v>3.1179999999999999</v>
      </c>
      <c r="F3010" s="5">
        <v>0.65900000000000003</v>
      </c>
    </row>
    <row r="3011" spans="2:6" x14ac:dyDescent="0.2">
      <c r="B3011" s="9" t="s">
        <v>10035</v>
      </c>
      <c r="C3011" s="15" t="s">
        <v>10036</v>
      </c>
      <c r="D3011" s="12" t="str">
        <f>"1747-9541"</f>
        <v>1747-9541</v>
      </c>
      <c r="E3011" s="5">
        <v>2.0510000000000002</v>
      </c>
      <c r="F3011" s="5">
        <v>0.28899999999999998</v>
      </c>
    </row>
    <row r="3012" spans="2:6" x14ac:dyDescent="0.2">
      <c r="B3012" s="9" t="s">
        <v>10037</v>
      </c>
      <c r="C3012" s="15" t="s">
        <v>10038</v>
      </c>
      <c r="D3012" s="12" t="str">
        <f>"1756-8277"</f>
        <v>1756-8277</v>
      </c>
      <c r="E3012" s="5">
        <v>1.774</v>
      </c>
      <c r="F3012" s="5">
        <v>0.35299999999999998</v>
      </c>
    </row>
    <row r="3013" spans="2:6" x14ac:dyDescent="0.2">
      <c r="B3013" s="9" t="s">
        <v>5495</v>
      </c>
      <c r="C3013" s="15" t="s">
        <v>3020</v>
      </c>
      <c r="D3013" s="12" t="str">
        <f>"0956-4624"</f>
        <v>0956-4624</v>
      </c>
      <c r="E3013" s="5">
        <v>1.359</v>
      </c>
      <c r="F3013" s="5">
        <v>7.5999999999999998E-2</v>
      </c>
    </row>
    <row r="3014" spans="2:6" x14ac:dyDescent="0.2">
      <c r="B3014" s="9" t="s">
        <v>10039</v>
      </c>
      <c r="C3014" s="15" t="s">
        <v>10040</v>
      </c>
      <c r="D3014" s="12" t="str">
        <f>"2005-3606"</f>
        <v>2005-3606</v>
      </c>
      <c r="E3014" s="5">
        <v>2.5</v>
      </c>
      <c r="F3014" s="5">
        <v>0.223</v>
      </c>
    </row>
    <row r="3015" spans="2:6" x14ac:dyDescent="0.2">
      <c r="B3015" s="9" t="s">
        <v>10041</v>
      </c>
      <c r="C3015" s="15" t="s">
        <v>10042</v>
      </c>
      <c r="D3015" s="12" t="str">
        <f>"2196-7822"</f>
        <v>2196-7822</v>
      </c>
      <c r="E3015" s="5">
        <v>5.0119999999999996</v>
      </c>
      <c r="F3015" s="5">
        <v>0.94299999999999995</v>
      </c>
    </row>
    <row r="3016" spans="2:6" x14ac:dyDescent="0.2">
      <c r="B3016" s="9" t="s">
        <v>10043</v>
      </c>
      <c r="C3016" s="15" t="s">
        <v>10044</v>
      </c>
      <c r="D3016" s="12" t="str">
        <f>"1072-5245"</f>
        <v>1072-5245</v>
      </c>
      <c r="E3016" s="5">
        <v>3.387</v>
      </c>
      <c r="F3016" s="5">
        <v>0.60199999999999998</v>
      </c>
    </row>
    <row r="3017" spans="2:6" x14ac:dyDescent="0.2">
      <c r="B3017" s="9" t="s">
        <v>1437</v>
      </c>
      <c r="C3017" s="15" t="s">
        <v>1438</v>
      </c>
      <c r="D3017" s="12" t="str">
        <f>"1747-4930"</f>
        <v>1747-4930</v>
      </c>
      <c r="E3017" s="5">
        <v>5.266</v>
      </c>
      <c r="F3017" s="5">
        <v>0.83099999999999996</v>
      </c>
    </row>
    <row r="3018" spans="2:6" x14ac:dyDescent="0.2">
      <c r="B3018" s="9" t="s">
        <v>1439</v>
      </c>
      <c r="C3018" s="15" t="s">
        <v>1440</v>
      </c>
      <c r="D3018" s="12" t="str">
        <f>"0219-4554"</f>
        <v>0219-4554</v>
      </c>
      <c r="E3018" s="5">
        <v>2.5579999999999998</v>
      </c>
      <c r="F3018" s="5">
        <v>0.57899999999999996</v>
      </c>
    </row>
    <row r="3019" spans="2:6" x14ac:dyDescent="0.2">
      <c r="B3019" s="9" t="s">
        <v>10045</v>
      </c>
      <c r="C3019" s="15" t="s">
        <v>10046</v>
      </c>
      <c r="D3019" s="12" t="str">
        <f>"1749-785X"</f>
        <v>1749-785X</v>
      </c>
      <c r="E3019" s="5">
        <v>1.1779999999999999</v>
      </c>
      <c r="F3019" s="5">
        <v>0.156</v>
      </c>
    </row>
    <row r="3020" spans="2:6" x14ac:dyDescent="0.2">
      <c r="B3020" s="9" t="s">
        <v>10047</v>
      </c>
      <c r="C3020" s="15" t="s">
        <v>10048</v>
      </c>
      <c r="D3020" s="12" t="str">
        <f>"1743-9191"</f>
        <v>1743-9191</v>
      </c>
      <c r="E3020" s="5">
        <v>6.0709999999999997</v>
      </c>
      <c r="F3020" s="5">
        <v>0.93300000000000005</v>
      </c>
    </row>
    <row r="3021" spans="2:6" x14ac:dyDescent="0.2">
      <c r="B3021" s="9" t="s">
        <v>5496</v>
      </c>
      <c r="C3021" s="15" t="s">
        <v>3021</v>
      </c>
      <c r="D3021" s="12" t="str">
        <f>"1066-8969"</f>
        <v>1066-8969</v>
      </c>
      <c r="E3021" s="5">
        <v>1.2709999999999999</v>
      </c>
      <c r="F3021" s="5">
        <v>0.157</v>
      </c>
    </row>
    <row r="3022" spans="2:6" x14ac:dyDescent="0.2">
      <c r="B3022" s="9" t="s">
        <v>5497</v>
      </c>
      <c r="C3022" s="15" t="s">
        <v>3022</v>
      </c>
      <c r="D3022" s="12" t="str">
        <f>"1466-5026"</f>
        <v>1466-5026</v>
      </c>
      <c r="E3022" s="5">
        <v>2.7469999999999999</v>
      </c>
      <c r="F3022" s="5">
        <v>0.311</v>
      </c>
    </row>
    <row r="3023" spans="2:6" x14ac:dyDescent="0.2">
      <c r="B3023" s="9" t="s">
        <v>5498</v>
      </c>
      <c r="C3023" s="15" t="s">
        <v>3023</v>
      </c>
      <c r="D3023" s="12" t="str">
        <f>"1471-6348"</f>
        <v>1471-6348</v>
      </c>
      <c r="E3023" s="5">
        <v>2.1880000000000002</v>
      </c>
      <c r="F3023" s="5">
        <v>0.41599999999999998</v>
      </c>
    </row>
    <row r="3024" spans="2:6" x14ac:dyDescent="0.2">
      <c r="B3024" s="9" t="s">
        <v>5499</v>
      </c>
      <c r="C3024" s="15" t="s">
        <v>3024</v>
      </c>
      <c r="D3024" s="12" t="str">
        <f>"0957-7572"</f>
        <v>0957-7572</v>
      </c>
      <c r="E3024" s="5">
        <v>2.177</v>
      </c>
      <c r="F3024" s="5">
        <v>0.52200000000000002</v>
      </c>
    </row>
    <row r="3025" spans="2:6" x14ac:dyDescent="0.2">
      <c r="B3025" s="9" t="s">
        <v>5500</v>
      </c>
      <c r="C3025" s="15" t="s">
        <v>3025</v>
      </c>
      <c r="D3025" s="12" t="str">
        <f>"1290-0729"</f>
        <v>1290-0729</v>
      </c>
      <c r="E3025" s="5">
        <v>3.7440000000000002</v>
      </c>
      <c r="F3025" s="5">
        <v>0.77400000000000002</v>
      </c>
    </row>
    <row r="3026" spans="2:6" x14ac:dyDescent="0.2">
      <c r="B3026" s="9" t="s">
        <v>5501</v>
      </c>
      <c r="C3026" s="15" t="s">
        <v>3026</v>
      </c>
      <c r="D3026" s="12" t="str">
        <f>"1091-5818"</f>
        <v>1091-5818</v>
      </c>
      <c r="E3026" s="5">
        <v>2.032</v>
      </c>
      <c r="F3026" s="5">
        <v>0.20399999999999999</v>
      </c>
    </row>
    <row r="3027" spans="2:6" x14ac:dyDescent="0.2">
      <c r="B3027" s="9" t="s">
        <v>10049</v>
      </c>
      <c r="C3027" s="15" t="s">
        <v>10050</v>
      </c>
      <c r="D3027" s="12" t="str">
        <f>"1553-2739"</f>
        <v>1553-2739</v>
      </c>
      <c r="E3027" s="5">
        <v>5.3330000000000002</v>
      </c>
      <c r="F3027" s="5">
        <v>0.98199999999999998</v>
      </c>
    </row>
    <row r="3028" spans="2:6" x14ac:dyDescent="0.2">
      <c r="B3028" s="9" t="s">
        <v>5502</v>
      </c>
      <c r="C3028" s="15" t="s">
        <v>3027</v>
      </c>
      <c r="D3028" s="12" t="str">
        <f>"1027-3719"</f>
        <v>1027-3719</v>
      </c>
      <c r="E3028" s="5">
        <v>2.3730000000000002</v>
      </c>
      <c r="F3028" s="5">
        <v>0.25</v>
      </c>
    </row>
    <row r="3029" spans="2:6" x14ac:dyDescent="0.2">
      <c r="B3029" s="9" t="s">
        <v>5503</v>
      </c>
      <c r="C3029" s="15" t="s">
        <v>4498</v>
      </c>
      <c r="D3029" s="12" t="str">
        <f>"0919-8172"</f>
        <v>0919-8172</v>
      </c>
      <c r="E3029" s="5">
        <v>3.3690000000000002</v>
      </c>
      <c r="F3029" s="5">
        <v>0.60699999999999998</v>
      </c>
    </row>
    <row r="3030" spans="2:6" x14ac:dyDescent="0.2">
      <c r="B3030" s="9" t="s">
        <v>5504</v>
      </c>
      <c r="C3030" s="15" t="s">
        <v>4499</v>
      </c>
      <c r="D3030" s="12" t="str">
        <f>"0143-3369"</f>
        <v>0143-3369</v>
      </c>
      <c r="E3030" s="5">
        <v>0.29599999999999999</v>
      </c>
      <c r="F3030" s="5">
        <v>2.7E-2</v>
      </c>
    </row>
    <row r="3031" spans="2:6" x14ac:dyDescent="0.2">
      <c r="B3031" s="9" t="s">
        <v>5505</v>
      </c>
      <c r="C3031" s="15" t="s">
        <v>4500</v>
      </c>
      <c r="D3031" s="12" t="str">
        <f>"0300-9831"</f>
        <v>0300-9831</v>
      </c>
      <c r="E3031" s="5">
        <v>1.784</v>
      </c>
      <c r="F3031" s="5">
        <v>0.182</v>
      </c>
    </row>
    <row r="3032" spans="2:6" x14ac:dyDescent="0.2">
      <c r="B3032" s="9" t="s">
        <v>10051</v>
      </c>
      <c r="C3032" s="15" t="s">
        <v>10052</v>
      </c>
      <c r="D3032" s="12" t="str">
        <f>"1179-1411"</f>
        <v>1179-1411</v>
      </c>
      <c r="E3032" s="5">
        <v>2.7730000000000001</v>
      </c>
      <c r="F3032" s="5">
        <v>0.50600000000000001</v>
      </c>
    </row>
    <row r="3033" spans="2:6" x14ac:dyDescent="0.2">
      <c r="B3033" s="9" t="s">
        <v>5506</v>
      </c>
      <c r="C3033" s="15" t="s">
        <v>4501</v>
      </c>
      <c r="D3033" s="12" t="str">
        <f>"1139-6709"</f>
        <v>1139-6709</v>
      </c>
      <c r="E3033" s="5">
        <v>2.4790000000000001</v>
      </c>
      <c r="F3033" s="5">
        <v>0.33500000000000002</v>
      </c>
    </row>
    <row r="3034" spans="2:6" x14ac:dyDescent="0.2">
      <c r="B3034" s="9" t="s">
        <v>1441</v>
      </c>
      <c r="C3034" s="15" t="s">
        <v>1442</v>
      </c>
      <c r="D3034" s="12" t="str">
        <f>"0020-7985"</f>
        <v>0020-7985</v>
      </c>
      <c r="E3034" s="5">
        <v>1.946</v>
      </c>
      <c r="F3034" s="5">
        <v>0.379</v>
      </c>
    </row>
    <row r="3035" spans="2:6" x14ac:dyDescent="0.2">
      <c r="B3035" s="9" t="s">
        <v>1443</v>
      </c>
      <c r="C3035" s="15" t="s">
        <v>1444</v>
      </c>
      <c r="D3035" s="12" t="str">
        <f>"0197-9183"</f>
        <v>0197-9183</v>
      </c>
      <c r="E3035" s="5">
        <v>2.9009999999999998</v>
      </c>
      <c r="F3035" s="5">
        <v>0.72399999999999998</v>
      </c>
    </row>
    <row r="3036" spans="2:6" x14ac:dyDescent="0.2">
      <c r="B3036" s="9" t="s">
        <v>10053</v>
      </c>
      <c r="C3036" s="15" t="s">
        <v>10054</v>
      </c>
      <c r="D3036" s="12" t="str">
        <f>"2093-4777"</f>
        <v>2093-4777</v>
      </c>
      <c r="E3036" s="5">
        <v>2.835</v>
      </c>
      <c r="F3036" s="5">
        <v>0.47199999999999998</v>
      </c>
    </row>
    <row r="3037" spans="2:6" x14ac:dyDescent="0.2">
      <c r="B3037" s="9" t="s">
        <v>1445</v>
      </c>
      <c r="C3037" s="15" t="s">
        <v>1446</v>
      </c>
      <c r="D3037" s="12" t="str">
        <f>"1466-7657"</f>
        <v>1466-7657</v>
      </c>
      <c r="E3037" s="5">
        <v>2.871</v>
      </c>
      <c r="F3037" s="5">
        <v>0.86499999999999999</v>
      </c>
    </row>
    <row r="3038" spans="2:6" x14ac:dyDescent="0.2">
      <c r="B3038" s="9" t="s">
        <v>10055</v>
      </c>
      <c r="C3038" s="15" t="s">
        <v>10056</v>
      </c>
      <c r="D3038" s="12"/>
      <c r="E3038" s="5">
        <v>2.0310000000000001</v>
      </c>
      <c r="F3038" s="5">
        <v>0.35499999999999998</v>
      </c>
    </row>
    <row r="3039" spans="2:6" x14ac:dyDescent="0.2">
      <c r="B3039" s="9" t="s">
        <v>5507</v>
      </c>
      <c r="C3039" s="15" t="s">
        <v>4502</v>
      </c>
      <c r="D3039" s="12" t="str">
        <f>"0341-2695"</f>
        <v>0341-2695</v>
      </c>
      <c r="E3039" s="5">
        <v>3.0750000000000002</v>
      </c>
      <c r="F3039" s="5">
        <v>0.71599999999999997</v>
      </c>
    </row>
    <row r="3040" spans="2:6" x14ac:dyDescent="0.2">
      <c r="B3040" s="9" t="s">
        <v>10057</v>
      </c>
      <c r="C3040" s="15" t="s">
        <v>10058</v>
      </c>
      <c r="D3040" s="12" t="str">
        <f>"1944-0391"</f>
        <v>1944-0391</v>
      </c>
      <c r="E3040" s="5">
        <v>1.417</v>
      </c>
      <c r="F3040" s="5">
        <v>0.27600000000000002</v>
      </c>
    </row>
    <row r="3041" spans="2:6" x14ac:dyDescent="0.2">
      <c r="B3041" s="9" t="s">
        <v>5508</v>
      </c>
      <c r="C3041" s="15" t="s">
        <v>4503</v>
      </c>
      <c r="D3041" s="12" t="str">
        <f>"1041-6102"</f>
        <v>1041-6102</v>
      </c>
      <c r="E3041" s="5">
        <v>3.8780000000000001</v>
      </c>
      <c r="F3041" s="5">
        <v>0.83299999999999996</v>
      </c>
    </row>
    <row r="3042" spans="2:6" x14ac:dyDescent="0.2">
      <c r="B3042" s="9" t="s">
        <v>10059</v>
      </c>
      <c r="C3042" s="15" t="s">
        <v>10060</v>
      </c>
      <c r="D3042" s="12" t="str">
        <f>"1937-6448"</f>
        <v>1937-6448</v>
      </c>
      <c r="E3042" s="5">
        <v>6.8129999999999997</v>
      </c>
      <c r="F3042" s="5">
        <v>0.82099999999999995</v>
      </c>
    </row>
    <row r="3043" spans="2:6" x14ac:dyDescent="0.2">
      <c r="B3043" s="9" t="s">
        <v>5509</v>
      </c>
      <c r="C3043" s="15" t="s">
        <v>4504</v>
      </c>
      <c r="D3043" s="12" t="str">
        <f>"0883-0185"</f>
        <v>0883-0185</v>
      </c>
      <c r="E3043" s="5">
        <v>5.3109999999999999</v>
      </c>
      <c r="F3043" s="5">
        <v>0.67900000000000005</v>
      </c>
    </row>
    <row r="3044" spans="2:6" x14ac:dyDescent="0.2">
      <c r="B3044" s="9" t="s">
        <v>5510</v>
      </c>
      <c r="C3044" s="15" t="s">
        <v>10061</v>
      </c>
      <c r="D3044" s="12" t="str">
        <f>"0074-7742"</f>
        <v>0074-7742</v>
      </c>
      <c r="E3044" s="5">
        <v>3.23</v>
      </c>
      <c r="F3044" s="5">
        <v>0.374</v>
      </c>
    </row>
    <row r="3045" spans="2:6" x14ac:dyDescent="0.2">
      <c r="B3045" s="9" t="s">
        <v>1447</v>
      </c>
      <c r="C3045" s="15" t="s">
        <v>1448</v>
      </c>
      <c r="D3045" s="12" t="str">
        <f>"0954-0261"</f>
        <v>0954-0261</v>
      </c>
      <c r="E3045" s="5">
        <v>4.1399999999999997</v>
      </c>
      <c r="F3045" s="5">
        <v>0.71299999999999997</v>
      </c>
    </row>
    <row r="3046" spans="2:6" x14ac:dyDescent="0.2">
      <c r="B3046" s="9" t="s">
        <v>10062</v>
      </c>
      <c r="C3046" s="15" t="s">
        <v>10063</v>
      </c>
      <c r="D3046" s="12" t="str">
        <f>"2211-6095"</f>
        <v>2211-6095</v>
      </c>
      <c r="E3046" s="5">
        <v>0.88900000000000001</v>
      </c>
      <c r="F3046" s="5">
        <v>0.158</v>
      </c>
    </row>
    <row r="3047" spans="2:6" x14ac:dyDescent="0.2">
      <c r="B3047" s="9" t="s">
        <v>10064</v>
      </c>
      <c r="C3047" s="15" t="s">
        <v>10065</v>
      </c>
      <c r="D3047" s="12" t="str">
        <f>"2397-8570"</f>
        <v>2397-8570</v>
      </c>
      <c r="E3047" s="5">
        <v>2.5</v>
      </c>
      <c r="F3047" s="5">
        <v>0.438</v>
      </c>
    </row>
    <row r="3048" spans="2:6" x14ac:dyDescent="0.2">
      <c r="B3048" s="9" t="s">
        <v>10066</v>
      </c>
      <c r="C3048" s="15" t="s">
        <v>10067</v>
      </c>
      <c r="D3048" s="12" t="str">
        <f>"1750-984X"</f>
        <v>1750-984X</v>
      </c>
      <c r="E3048" s="5">
        <v>20.652000000000001</v>
      </c>
      <c r="F3048" s="5">
        <v>1</v>
      </c>
    </row>
    <row r="3049" spans="2:6" x14ac:dyDescent="0.2">
      <c r="B3049" s="9" t="s">
        <v>5511</v>
      </c>
      <c r="C3049" s="15" t="s">
        <v>4505</v>
      </c>
      <c r="D3049" s="12" t="str">
        <f>"0306-7734"</f>
        <v>0306-7734</v>
      </c>
      <c r="E3049" s="5">
        <v>2.2170000000000001</v>
      </c>
      <c r="F3049" s="5">
        <v>0.70399999999999996</v>
      </c>
    </row>
    <row r="3050" spans="2:6" x14ac:dyDescent="0.2">
      <c r="B3050" s="9" t="s">
        <v>5512</v>
      </c>
      <c r="C3050" s="15" t="s">
        <v>4506</v>
      </c>
      <c r="D3050" s="12" t="str">
        <f>"0937-3462"</f>
        <v>0937-3462</v>
      </c>
      <c r="E3050" s="5">
        <v>2.8940000000000001</v>
      </c>
      <c r="F3050" s="5">
        <v>0.55400000000000005</v>
      </c>
    </row>
    <row r="3051" spans="2:6" x14ac:dyDescent="0.2">
      <c r="B3051" s="9" t="s">
        <v>5513</v>
      </c>
      <c r="C3051" s="15" t="s">
        <v>4507</v>
      </c>
      <c r="D3051" s="12" t="str">
        <f>"0301-1623"</f>
        <v>0301-1623</v>
      </c>
      <c r="E3051" s="5">
        <v>2.37</v>
      </c>
      <c r="F3051" s="5">
        <v>0.36</v>
      </c>
    </row>
    <row r="3052" spans="2:6" x14ac:dyDescent="0.2">
      <c r="B3052" s="9" t="s">
        <v>10068</v>
      </c>
      <c r="C3052" s="15" t="s">
        <v>10069</v>
      </c>
      <c r="D3052" s="12" t="str">
        <f>"1742-4801"</f>
        <v>1742-4801</v>
      </c>
      <c r="E3052" s="5">
        <v>3.3149999999999999</v>
      </c>
      <c r="F3052" s="5">
        <v>0.68600000000000005</v>
      </c>
    </row>
    <row r="3053" spans="2:6" x14ac:dyDescent="0.2">
      <c r="B3053" s="9" t="s">
        <v>5522</v>
      </c>
      <c r="C3053" s="15" t="s">
        <v>4513</v>
      </c>
      <c r="D3053" s="12" t="str">
        <f>"0792-4259"</f>
        <v>0792-4259</v>
      </c>
      <c r="E3053" s="5">
        <v>0.95199999999999996</v>
      </c>
      <c r="F3053" s="5">
        <v>0.26400000000000001</v>
      </c>
    </row>
    <row r="3054" spans="2:6" x14ac:dyDescent="0.2">
      <c r="B3054" s="9" t="s">
        <v>10070</v>
      </c>
      <c r="C3054" s="15" t="s">
        <v>10071</v>
      </c>
      <c r="D3054" s="12" t="str">
        <f>"0535-5133"</f>
        <v>0535-5133</v>
      </c>
      <c r="E3054" s="5">
        <v>0.68300000000000005</v>
      </c>
      <c r="F3054" s="5">
        <v>2.9000000000000001E-2</v>
      </c>
    </row>
    <row r="3055" spans="2:6" x14ac:dyDescent="0.2">
      <c r="B3055" s="9" t="s">
        <v>10072</v>
      </c>
      <c r="C3055" s="15" t="s">
        <v>10073</v>
      </c>
      <c r="D3055" s="12" t="str">
        <f>"0187-358X"</f>
        <v>0187-358X</v>
      </c>
      <c r="E3055" s="5">
        <v>0.47499999999999998</v>
      </c>
      <c r="F3055" s="5">
        <v>0.14099999999999999</v>
      </c>
    </row>
    <row r="3056" spans="2:6" x14ac:dyDescent="0.2">
      <c r="B3056" s="9" t="s">
        <v>10074</v>
      </c>
      <c r="C3056" s="15" t="s">
        <v>10075</v>
      </c>
      <c r="D3056" s="12" t="str">
        <f>"2466-0493"</f>
        <v>2466-0493</v>
      </c>
      <c r="E3056" s="5">
        <v>2.1859999999999999</v>
      </c>
      <c r="F3056" s="5">
        <v>0.29199999999999998</v>
      </c>
    </row>
    <row r="3057" spans="2:6" x14ac:dyDescent="0.2">
      <c r="B3057" s="9" t="s">
        <v>5523</v>
      </c>
      <c r="C3057" s="15" t="s">
        <v>4514</v>
      </c>
      <c r="D3057" s="12" t="str">
        <f>"0167-6997"</f>
        <v>0167-6997</v>
      </c>
      <c r="E3057" s="5">
        <v>3.85</v>
      </c>
      <c r="F3057" s="5">
        <v>0.57499999999999996</v>
      </c>
    </row>
    <row r="3058" spans="2:6" x14ac:dyDescent="0.2">
      <c r="B3058" s="9" t="s">
        <v>5524</v>
      </c>
      <c r="C3058" s="15" t="s">
        <v>4515</v>
      </c>
      <c r="D3058" s="12" t="str">
        <f>"0146-0404"</f>
        <v>0146-0404</v>
      </c>
      <c r="E3058" s="5">
        <v>4.7990000000000004</v>
      </c>
      <c r="F3058" s="5">
        <v>0.88700000000000001</v>
      </c>
    </row>
    <row r="3059" spans="2:6" x14ac:dyDescent="0.2">
      <c r="B3059" s="9" t="s">
        <v>5525</v>
      </c>
      <c r="C3059" s="15" t="s">
        <v>4516</v>
      </c>
      <c r="D3059" s="12" t="str">
        <f>"0020-9996"</f>
        <v>0020-9996</v>
      </c>
      <c r="E3059" s="5">
        <v>6.016</v>
      </c>
      <c r="F3059" s="5">
        <v>0.89500000000000002</v>
      </c>
    </row>
    <row r="3060" spans="2:6" x14ac:dyDescent="0.2">
      <c r="B3060" s="9" t="s">
        <v>6861</v>
      </c>
      <c r="C3060" s="15" t="s">
        <v>4353</v>
      </c>
      <c r="D3060" s="12" t="str">
        <f>"1071-2690"</f>
        <v>1071-2690</v>
      </c>
      <c r="E3060" s="5">
        <v>2.4159999999999999</v>
      </c>
      <c r="F3060" s="5">
        <v>0.41499999999999998</v>
      </c>
    </row>
    <row r="3061" spans="2:6" x14ac:dyDescent="0.2">
      <c r="B3061" s="9" t="s">
        <v>6862</v>
      </c>
      <c r="C3061" s="15" t="s">
        <v>4354</v>
      </c>
      <c r="D3061" s="12" t="str">
        <f>"1054-5476"</f>
        <v>1054-5476</v>
      </c>
      <c r="E3061" s="5">
        <v>2.2519999999999998</v>
      </c>
      <c r="F3061" s="5">
        <v>0.55300000000000005</v>
      </c>
    </row>
    <row r="3062" spans="2:6" x14ac:dyDescent="0.2">
      <c r="B3062" s="9" t="s">
        <v>6111</v>
      </c>
      <c r="C3062" s="15" t="s">
        <v>6111</v>
      </c>
      <c r="D3062" s="12" t="str">
        <f>"0258-851X"</f>
        <v>0258-851X</v>
      </c>
      <c r="E3062" s="5">
        <v>2.1549999999999998</v>
      </c>
      <c r="F3062" s="5">
        <v>0.2</v>
      </c>
    </row>
    <row r="3063" spans="2:6" x14ac:dyDescent="0.2">
      <c r="B3063" s="9" t="s">
        <v>10076</v>
      </c>
      <c r="C3063" s="15" t="s">
        <v>10077</v>
      </c>
      <c r="D3063" s="12" t="str">
        <f>"2041-6695"</f>
        <v>2041-6695</v>
      </c>
      <c r="E3063" s="5">
        <v>1.5880000000000001</v>
      </c>
      <c r="F3063" s="5">
        <v>0.17799999999999999</v>
      </c>
    </row>
    <row r="3064" spans="2:6" x14ac:dyDescent="0.2">
      <c r="B3064" s="9" t="s">
        <v>1460</v>
      </c>
      <c r="C3064" s="15" t="s">
        <v>1461</v>
      </c>
      <c r="D3064" s="12" t="str">
        <f>"1735-1502"</f>
        <v>1735-1502</v>
      </c>
      <c r="E3064" s="5">
        <v>1.464</v>
      </c>
      <c r="F3064" s="5">
        <v>0.14299999999999999</v>
      </c>
    </row>
    <row r="3065" spans="2:6" x14ac:dyDescent="0.2">
      <c r="B3065" s="9" t="s">
        <v>10078</v>
      </c>
      <c r="C3065" s="15" t="s">
        <v>10079</v>
      </c>
      <c r="D3065" s="12" t="str">
        <f>"2008-3866"</f>
        <v>2008-3866</v>
      </c>
      <c r="E3065" s="5">
        <v>2.6989999999999998</v>
      </c>
      <c r="F3065" s="5">
        <v>0.34200000000000003</v>
      </c>
    </row>
    <row r="3066" spans="2:6" x14ac:dyDescent="0.2">
      <c r="B3066" s="9" t="s">
        <v>10080</v>
      </c>
      <c r="C3066" s="15" t="s">
        <v>10081</v>
      </c>
      <c r="D3066" s="12" t="str">
        <f>"1728-3043"</f>
        <v>1728-3043</v>
      </c>
      <c r="E3066" s="5">
        <v>1.671</v>
      </c>
      <c r="F3066" s="5">
        <v>0.108</v>
      </c>
    </row>
    <row r="3067" spans="2:6" ht="25.5" x14ac:dyDescent="0.2">
      <c r="B3067" s="9" t="s">
        <v>5526</v>
      </c>
      <c r="C3067" s="15" t="s">
        <v>10082</v>
      </c>
      <c r="D3067" s="12" t="str">
        <f>"1021-9986"</f>
        <v>1021-9986</v>
      </c>
      <c r="E3067" s="5">
        <v>0.75900000000000001</v>
      </c>
      <c r="F3067" s="5">
        <v>0.13300000000000001</v>
      </c>
    </row>
    <row r="3068" spans="2:6" x14ac:dyDescent="0.2">
      <c r="B3068" s="9" t="s">
        <v>10083</v>
      </c>
      <c r="C3068" s="15" t="s">
        <v>10084</v>
      </c>
      <c r="D3068" s="12" t="str">
        <f>"1735-1383"</f>
        <v>1735-1383</v>
      </c>
      <c r="E3068" s="5">
        <v>1.603</v>
      </c>
      <c r="F3068" s="5">
        <v>7.3999999999999996E-2</v>
      </c>
    </row>
    <row r="3069" spans="2:6" x14ac:dyDescent="0.2">
      <c r="B3069" s="9" t="s">
        <v>10085</v>
      </c>
      <c r="C3069" s="15" t="s">
        <v>10086</v>
      </c>
      <c r="D3069" s="12" t="str">
        <f>"1735-8582"</f>
        <v>1735-8582</v>
      </c>
      <c r="E3069" s="5">
        <v>0.89200000000000002</v>
      </c>
      <c r="F3069" s="5">
        <v>6.7000000000000004E-2</v>
      </c>
    </row>
    <row r="3070" spans="2:6" x14ac:dyDescent="0.2">
      <c r="B3070" s="9" t="s">
        <v>10087</v>
      </c>
      <c r="C3070" s="15" t="s">
        <v>10088</v>
      </c>
      <c r="D3070" s="12" t="str">
        <f>"1735-7020"</f>
        <v>1735-7020</v>
      </c>
      <c r="E3070" s="5">
        <v>1.012</v>
      </c>
      <c r="F3070" s="5">
        <v>7.9000000000000001E-2</v>
      </c>
    </row>
    <row r="3071" spans="2:6" x14ac:dyDescent="0.2">
      <c r="B3071" s="9" t="s">
        <v>1462</v>
      </c>
      <c r="C3071" s="15" t="s">
        <v>1463</v>
      </c>
      <c r="D3071" s="12" t="str">
        <f>"2008-2142"</f>
        <v>2008-2142</v>
      </c>
      <c r="E3071" s="5">
        <v>0.36399999999999999</v>
      </c>
      <c r="F3071" s="5">
        <v>3.1E-2</v>
      </c>
    </row>
    <row r="3072" spans="2:6" x14ac:dyDescent="0.2">
      <c r="B3072" s="9" t="s">
        <v>1464</v>
      </c>
      <c r="C3072" s="15" t="s">
        <v>1465</v>
      </c>
      <c r="D3072" s="12" t="str">
        <f>"1735-0328"</f>
        <v>1735-0328</v>
      </c>
      <c r="E3072" s="5">
        <v>1.696</v>
      </c>
      <c r="F3072" s="5">
        <v>0.14199999999999999</v>
      </c>
    </row>
    <row r="3073" spans="2:6" x14ac:dyDescent="0.2">
      <c r="B3073" s="9" t="s">
        <v>1466</v>
      </c>
      <c r="C3073" s="15" t="s">
        <v>1467</v>
      </c>
      <c r="D3073" s="12" t="str">
        <f>"2251-6085"</f>
        <v>2251-6085</v>
      </c>
      <c r="E3073" s="5">
        <v>1.429</v>
      </c>
      <c r="F3073" s="5">
        <v>0.17399999999999999</v>
      </c>
    </row>
    <row r="3074" spans="2:6" x14ac:dyDescent="0.2">
      <c r="B3074" s="9" t="s">
        <v>10089</v>
      </c>
      <c r="C3074" s="15" t="s">
        <v>10090</v>
      </c>
      <c r="D3074" s="12" t="str">
        <f>"1735-1065"</f>
        <v>1735-1065</v>
      </c>
      <c r="E3074" s="5">
        <v>0.21199999999999999</v>
      </c>
      <c r="F3074" s="5">
        <v>8.0000000000000002E-3</v>
      </c>
    </row>
    <row r="3075" spans="2:6" x14ac:dyDescent="0.2">
      <c r="B3075" s="9" t="s">
        <v>10091</v>
      </c>
      <c r="C3075" s="15" t="s">
        <v>10092</v>
      </c>
      <c r="D3075" s="12" t="str">
        <f>"1028-6276"</f>
        <v>1028-6276</v>
      </c>
      <c r="E3075" s="5">
        <v>1.194</v>
      </c>
      <c r="F3075" s="5">
        <v>0.27800000000000002</v>
      </c>
    </row>
    <row r="3076" spans="2:6" x14ac:dyDescent="0.2">
      <c r="B3076" s="9" t="s">
        <v>10093</v>
      </c>
      <c r="C3076" s="15" t="s">
        <v>10094</v>
      </c>
      <c r="D3076" s="12" t="str">
        <f>"1728-1997"</f>
        <v>1728-1997</v>
      </c>
      <c r="E3076" s="5">
        <v>1.3759999999999999</v>
      </c>
      <c r="F3076" s="5">
        <v>0.45900000000000002</v>
      </c>
    </row>
    <row r="3077" spans="2:6" x14ac:dyDescent="0.2">
      <c r="B3077" s="9" t="s">
        <v>1468</v>
      </c>
      <c r="C3077" s="15" t="s">
        <v>1469</v>
      </c>
      <c r="D3077" s="12" t="str">
        <f>"2074-1804"</f>
        <v>2074-1804</v>
      </c>
      <c r="E3077" s="5">
        <v>0.61099999999999999</v>
      </c>
      <c r="F3077" s="5">
        <v>9.6000000000000002E-2</v>
      </c>
    </row>
    <row r="3078" spans="2:6" x14ac:dyDescent="0.2">
      <c r="B3078" s="9" t="s">
        <v>10095</v>
      </c>
      <c r="C3078" s="15" t="s">
        <v>10095</v>
      </c>
      <c r="D3078" s="12" t="str">
        <f>"1959-0318"</f>
        <v>1959-0318</v>
      </c>
      <c r="E3078" s="5">
        <v>1.8560000000000001</v>
      </c>
      <c r="F3078" s="5">
        <v>0.24099999999999999</v>
      </c>
    </row>
    <row r="3079" spans="2:6" x14ac:dyDescent="0.2">
      <c r="B3079" s="9" t="s">
        <v>5527</v>
      </c>
      <c r="C3079" s="15" t="s">
        <v>4517</v>
      </c>
      <c r="D3079" s="12" t="str">
        <f>"0021-1265"</f>
        <v>0021-1265</v>
      </c>
      <c r="E3079" s="5">
        <v>1.5680000000000001</v>
      </c>
      <c r="F3079" s="5">
        <v>0.35299999999999998</v>
      </c>
    </row>
    <row r="3080" spans="2:6" x14ac:dyDescent="0.2">
      <c r="B3080" s="9" t="s">
        <v>5528</v>
      </c>
      <c r="C3080" s="15" t="s">
        <v>4518</v>
      </c>
      <c r="D3080" s="12" t="str">
        <f>"0368-0762"</f>
        <v>0368-0762</v>
      </c>
      <c r="E3080" s="5">
        <v>2.1459999999999999</v>
      </c>
      <c r="F3080" s="5">
        <v>0.71899999999999997</v>
      </c>
    </row>
    <row r="3081" spans="2:6" x14ac:dyDescent="0.2">
      <c r="B3081" s="9" t="s">
        <v>10096</v>
      </c>
      <c r="C3081" s="15" t="s">
        <v>10097</v>
      </c>
      <c r="D3081" s="12" t="str">
        <f>"2589-0042"</f>
        <v>2589-0042</v>
      </c>
      <c r="E3081" s="5">
        <v>5.4580000000000002</v>
      </c>
      <c r="F3081" s="5">
        <v>0.81899999999999995</v>
      </c>
    </row>
    <row r="3082" spans="2:6" x14ac:dyDescent="0.2">
      <c r="B3082" s="9" t="s">
        <v>10098</v>
      </c>
      <c r="C3082" s="15" t="s">
        <v>10099</v>
      </c>
      <c r="D3082" s="12" t="str">
        <f>"1300-3615"</f>
        <v>1300-3615</v>
      </c>
      <c r="E3082" s="5">
        <v>0.75600000000000001</v>
      </c>
      <c r="F3082" s="5">
        <v>7.4999999999999997E-2</v>
      </c>
    </row>
    <row r="3083" spans="2:6" x14ac:dyDescent="0.2">
      <c r="B3083" s="9" t="s">
        <v>5529</v>
      </c>
      <c r="C3083" s="15" t="s">
        <v>5529</v>
      </c>
      <c r="D3083" s="12" t="str">
        <f>"0021-1753"</f>
        <v>0021-1753</v>
      </c>
      <c r="E3083" s="5">
        <v>0.68799999999999994</v>
      </c>
      <c r="F3083" s="5">
        <v>0.33800000000000002</v>
      </c>
    </row>
    <row r="3084" spans="2:6" x14ac:dyDescent="0.2">
      <c r="B3084" s="9" t="s">
        <v>10100</v>
      </c>
      <c r="C3084" s="15" t="s">
        <v>10101</v>
      </c>
      <c r="D3084" s="12" t="str">
        <f>"1824-307X"</f>
        <v>1824-307X</v>
      </c>
      <c r="E3084" s="5">
        <v>1.115</v>
      </c>
      <c r="F3084" s="5">
        <v>0.35099999999999998</v>
      </c>
    </row>
    <row r="3085" spans="2:6" x14ac:dyDescent="0.2">
      <c r="B3085" s="9" t="s">
        <v>10102</v>
      </c>
      <c r="C3085" s="15" t="s">
        <v>10103</v>
      </c>
      <c r="D3085" s="12" t="str">
        <f>"1938-2014"</f>
        <v>1938-2014</v>
      </c>
      <c r="E3085" s="5">
        <v>2.694</v>
      </c>
      <c r="F3085" s="5">
        <v>0.24099999999999999</v>
      </c>
    </row>
    <row r="3086" spans="2:6" x14ac:dyDescent="0.2">
      <c r="B3086" s="9" t="s">
        <v>10104</v>
      </c>
      <c r="C3086" s="15" t="s">
        <v>10105</v>
      </c>
      <c r="D3086" s="12" t="str">
        <f>"1715-2593"</f>
        <v>1715-2593</v>
      </c>
      <c r="E3086" s="5">
        <v>3.0539999999999998</v>
      </c>
      <c r="F3086" s="5">
        <v>0.80700000000000005</v>
      </c>
    </row>
    <row r="3087" spans="2:6" x14ac:dyDescent="0.2">
      <c r="B3087" s="9" t="s">
        <v>10106</v>
      </c>
      <c r="C3087" s="15" t="s">
        <v>10107</v>
      </c>
      <c r="D3087" s="12" t="str">
        <f>"1751-7362"</f>
        <v>1751-7362</v>
      </c>
      <c r="E3087" s="5">
        <v>10.302</v>
      </c>
      <c r="F3087" s="5">
        <v>0.96399999999999997</v>
      </c>
    </row>
    <row r="3088" spans="2:6" x14ac:dyDescent="0.2">
      <c r="B3088" s="9" t="s">
        <v>5530</v>
      </c>
      <c r="C3088" s="15" t="s">
        <v>4519</v>
      </c>
      <c r="D3088" s="12" t="str">
        <f>"0959-3020"</f>
        <v>0959-3020</v>
      </c>
      <c r="E3088" s="5">
        <v>0.51900000000000002</v>
      </c>
      <c r="F3088" s="5">
        <v>3.6999999999999998E-2</v>
      </c>
    </row>
    <row r="3089" spans="2:6" x14ac:dyDescent="0.2">
      <c r="B3089" s="9" t="s">
        <v>5531</v>
      </c>
      <c r="C3089" s="15" t="s">
        <v>4520</v>
      </c>
      <c r="D3089" s="12" t="str">
        <f>"0021-2148"</f>
        <v>0021-2148</v>
      </c>
      <c r="E3089" s="5">
        <v>3.3330000000000002</v>
      </c>
      <c r="F3089" s="5">
        <v>0.53900000000000003</v>
      </c>
    </row>
    <row r="3090" spans="2:6" x14ac:dyDescent="0.2">
      <c r="B3090" s="9" t="s">
        <v>10108</v>
      </c>
      <c r="C3090" s="15" t="s">
        <v>10109</v>
      </c>
      <c r="D3090" s="12" t="str">
        <f>"2045-4015"</f>
        <v>2045-4015</v>
      </c>
      <c r="E3090" s="5">
        <v>2.3849999999999998</v>
      </c>
      <c r="F3090" s="5">
        <v>0.46100000000000002</v>
      </c>
    </row>
    <row r="3091" spans="2:6" x14ac:dyDescent="0.2">
      <c r="B3091" s="9" t="s">
        <v>1470</v>
      </c>
      <c r="C3091" s="15" t="s">
        <v>1471</v>
      </c>
      <c r="D3091" s="12" t="str">
        <f>"0333-7308"</f>
        <v>0333-7308</v>
      </c>
      <c r="E3091" s="5">
        <v>0.48099999999999998</v>
      </c>
      <c r="F3091" s="5">
        <v>4.2000000000000003E-2</v>
      </c>
    </row>
    <row r="3092" spans="2:6" x14ac:dyDescent="0.2">
      <c r="B3092" s="9" t="s">
        <v>1472</v>
      </c>
      <c r="C3092" s="15" t="s">
        <v>1473</v>
      </c>
      <c r="D3092" s="12" t="str">
        <f>"0334-9152"</f>
        <v>0334-9152</v>
      </c>
      <c r="E3092" s="5">
        <v>0.27</v>
      </c>
      <c r="F3092" s="5">
        <v>3.4000000000000002E-2</v>
      </c>
    </row>
    <row r="3093" spans="2:6" x14ac:dyDescent="0.2">
      <c r="B3093" s="9" t="s">
        <v>1474</v>
      </c>
      <c r="C3093" s="15" t="s">
        <v>4521</v>
      </c>
      <c r="D3093" s="12" t="str">
        <f>"1565-1088"</f>
        <v>1565-1088</v>
      </c>
      <c r="E3093" s="5">
        <v>0.89200000000000002</v>
      </c>
      <c r="F3093" s="5">
        <v>0.16800000000000001</v>
      </c>
    </row>
    <row r="3094" spans="2:6" x14ac:dyDescent="0.2">
      <c r="B3094" s="9" t="s">
        <v>10110</v>
      </c>
      <c r="C3094" s="15" t="s">
        <v>10111</v>
      </c>
      <c r="D3094" s="12" t="str">
        <f>"0161-2840"</f>
        <v>0161-2840</v>
      </c>
      <c r="E3094" s="5">
        <v>1.835</v>
      </c>
      <c r="F3094" s="5">
        <v>0.46800000000000003</v>
      </c>
    </row>
    <row r="3095" spans="2:6" x14ac:dyDescent="0.2">
      <c r="B3095" s="9" t="s">
        <v>5532</v>
      </c>
      <c r="C3095" s="15" t="s">
        <v>4522</v>
      </c>
      <c r="D3095" s="12" t="str">
        <f>"0748-5492"</f>
        <v>0748-5492</v>
      </c>
      <c r="E3095" s="5">
        <v>1.2549999999999999</v>
      </c>
      <c r="F3095" s="5">
        <v>0.34100000000000003</v>
      </c>
    </row>
    <row r="3096" spans="2:6" x14ac:dyDescent="0.2">
      <c r="B3096" s="9" t="s">
        <v>10112</v>
      </c>
      <c r="C3096" s="15" t="s">
        <v>10113</v>
      </c>
      <c r="D3096" s="12" t="str">
        <f>"1594-4077"</f>
        <v>1594-4077</v>
      </c>
      <c r="E3096" s="5">
        <v>2.2170000000000001</v>
      </c>
      <c r="F3096" s="5">
        <v>0.72599999999999998</v>
      </c>
    </row>
    <row r="3097" spans="2:6" x14ac:dyDescent="0.2">
      <c r="B3097" s="9" t="s">
        <v>10114</v>
      </c>
      <c r="C3097" s="15" t="s">
        <v>10115</v>
      </c>
      <c r="D3097" s="12" t="str">
        <f>"1720-8424"</f>
        <v>1720-8424</v>
      </c>
      <c r="E3097" s="5">
        <v>2.6379999999999999</v>
      </c>
      <c r="F3097" s="5">
        <v>0.64300000000000002</v>
      </c>
    </row>
    <row r="3098" spans="2:6" x14ac:dyDescent="0.2">
      <c r="B3098" s="9" t="s">
        <v>5533</v>
      </c>
      <c r="C3098" s="15" t="s">
        <v>5533</v>
      </c>
      <c r="D3098" s="12" t="str">
        <f>"1521-6543"</f>
        <v>1521-6543</v>
      </c>
      <c r="E3098" s="5">
        <v>3.8849999999999998</v>
      </c>
      <c r="F3098" s="5">
        <v>0.50700000000000001</v>
      </c>
    </row>
    <row r="3099" spans="2:6" x14ac:dyDescent="0.2">
      <c r="B3099" s="9" t="s">
        <v>10116</v>
      </c>
      <c r="C3099" s="15" t="s">
        <v>10117</v>
      </c>
      <c r="D3099" s="12" t="str">
        <f>"2052-2525"</f>
        <v>2052-2525</v>
      </c>
      <c r="E3099" s="5">
        <v>4.7690000000000001</v>
      </c>
      <c r="F3099" s="5">
        <v>0.88</v>
      </c>
    </row>
    <row r="3100" spans="2:6" x14ac:dyDescent="0.2">
      <c r="B3100" s="9" t="s">
        <v>10118</v>
      </c>
      <c r="C3100" s="15" t="s">
        <v>10119</v>
      </c>
      <c r="D3100" s="12" t="str">
        <f>"1547-1896"</f>
        <v>1547-1896</v>
      </c>
      <c r="E3100" s="5">
        <v>1.0860000000000001</v>
      </c>
      <c r="F3100" s="5">
        <v>0.21</v>
      </c>
    </row>
    <row r="3101" spans="2:6" x14ac:dyDescent="0.2">
      <c r="B3101" s="9" t="s">
        <v>5534</v>
      </c>
      <c r="C3101" s="15" t="s">
        <v>4523</v>
      </c>
      <c r="D3101" s="12" t="str">
        <f>"1091-8531"</f>
        <v>1091-8531</v>
      </c>
      <c r="E3101" s="5">
        <v>1.22</v>
      </c>
      <c r="F3101" s="5">
        <v>0.13200000000000001</v>
      </c>
    </row>
    <row r="3102" spans="2:6" x14ac:dyDescent="0.2">
      <c r="B3102" s="9" t="s">
        <v>1475</v>
      </c>
      <c r="C3102" s="15" t="s">
        <v>1476</v>
      </c>
      <c r="D3102" s="12" t="str">
        <f>"0091-0627"</f>
        <v>0091-0627</v>
      </c>
      <c r="E3102" s="5">
        <v>3.8370000000000002</v>
      </c>
      <c r="F3102" s="5">
        <v>0.76600000000000001</v>
      </c>
    </row>
    <row r="3103" spans="2:6" x14ac:dyDescent="0.2">
      <c r="B3103" s="9" t="s">
        <v>1477</v>
      </c>
      <c r="C3103" s="15" t="s">
        <v>1478</v>
      </c>
      <c r="D3103" s="12" t="str">
        <f>"0021-843X"</f>
        <v>0021-843X</v>
      </c>
      <c r="E3103" s="5">
        <v>6.673</v>
      </c>
      <c r="F3103" s="5">
        <v>0.94599999999999995</v>
      </c>
    </row>
    <row r="3104" spans="2:6" x14ac:dyDescent="0.2">
      <c r="B3104" s="9" t="s">
        <v>1479</v>
      </c>
      <c r="C3104" s="15" t="s">
        <v>1480</v>
      </c>
      <c r="D3104" s="12" t="str">
        <f>"0099-1333"</f>
        <v>0099-1333</v>
      </c>
      <c r="E3104" s="5">
        <v>1.5329999999999999</v>
      </c>
      <c r="F3104" s="5">
        <v>0.38800000000000001</v>
      </c>
    </row>
    <row r="3105" spans="2:6" x14ac:dyDescent="0.2">
      <c r="B3105" s="9" t="s">
        <v>10120</v>
      </c>
      <c r="C3105" s="15" t="s">
        <v>10121</v>
      </c>
      <c r="D3105" s="12" t="str">
        <f>"2212-2672"</f>
        <v>2212-2672</v>
      </c>
      <c r="E3105" s="5">
        <v>4.91</v>
      </c>
      <c r="F3105" s="5">
        <v>0.71599999999999997</v>
      </c>
    </row>
    <row r="3106" spans="2:6" ht="25.5" x14ac:dyDescent="0.2">
      <c r="B3106" s="9" t="s">
        <v>10122</v>
      </c>
      <c r="C3106" s="15" t="s">
        <v>10122</v>
      </c>
      <c r="D3106" s="12" t="str">
        <f>"2452-302X"</f>
        <v>2452-302X</v>
      </c>
      <c r="E3106" s="5">
        <v>8.6479999999999997</v>
      </c>
      <c r="F3106" s="5">
        <v>0.89400000000000002</v>
      </c>
    </row>
    <row r="3107" spans="2:6" x14ac:dyDescent="0.2">
      <c r="B3107" s="9" t="s">
        <v>10123</v>
      </c>
      <c r="C3107" s="15" t="s">
        <v>10124</v>
      </c>
      <c r="D3107" s="12" t="str">
        <f>"2666-0873"</f>
        <v>2666-0873</v>
      </c>
      <c r="E3107" s="5">
        <v>6.25</v>
      </c>
      <c r="F3107" s="5">
        <v>0.80900000000000005</v>
      </c>
    </row>
    <row r="3108" spans="2:6" x14ac:dyDescent="0.2">
      <c r="B3108" s="9" t="s">
        <v>10125</v>
      </c>
      <c r="C3108" s="15" t="s">
        <v>10126</v>
      </c>
      <c r="D3108" s="12" t="str">
        <f>"1936-878X"</f>
        <v>1936-878X</v>
      </c>
      <c r="E3108" s="5">
        <v>14.805</v>
      </c>
      <c r="F3108" s="5">
        <v>1</v>
      </c>
    </row>
    <row r="3109" spans="2:6" x14ac:dyDescent="0.2">
      <c r="B3109" s="9" t="s">
        <v>10127</v>
      </c>
      <c r="C3109" s="15" t="s">
        <v>10128</v>
      </c>
      <c r="D3109" s="12" t="str">
        <f>"1936-8798"</f>
        <v>1936-8798</v>
      </c>
      <c r="E3109" s="5">
        <v>11.195</v>
      </c>
      <c r="F3109" s="5">
        <v>0.92900000000000005</v>
      </c>
    </row>
    <row r="3110" spans="2:6" ht="25.5" x14ac:dyDescent="0.2">
      <c r="B3110" s="9" t="s">
        <v>10129</v>
      </c>
      <c r="C3110" s="15" t="s">
        <v>10129</v>
      </c>
      <c r="D3110" s="12" t="str">
        <f>"2405-500X"</f>
        <v>2405-500X</v>
      </c>
      <c r="E3110" s="5">
        <v>6.375</v>
      </c>
      <c r="F3110" s="5">
        <v>0.82299999999999995</v>
      </c>
    </row>
    <row r="3111" spans="2:6" x14ac:dyDescent="0.2">
      <c r="B3111" s="9" t="s">
        <v>10130</v>
      </c>
      <c r="C3111" s="15" t="s">
        <v>10131</v>
      </c>
      <c r="D3111" s="12" t="str">
        <f>"2213-1779"</f>
        <v>2213-1779</v>
      </c>
      <c r="E3111" s="5">
        <v>12.035</v>
      </c>
      <c r="F3111" s="5">
        <v>0.93600000000000005</v>
      </c>
    </row>
    <row r="3112" spans="2:6" x14ac:dyDescent="0.2">
      <c r="B3112" s="9" t="s">
        <v>5535</v>
      </c>
      <c r="C3112" s="15" t="s">
        <v>4524</v>
      </c>
      <c r="D3112" s="12" t="str">
        <f>"0001-4966"</f>
        <v>0001-4966</v>
      </c>
      <c r="E3112" s="5">
        <v>1.84</v>
      </c>
      <c r="F3112" s="5">
        <v>0.54800000000000004</v>
      </c>
    </row>
    <row r="3113" spans="2:6" x14ac:dyDescent="0.2">
      <c r="B3113" s="9" t="s">
        <v>1481</v>
      </c>
      <c r="C3113" s="15" t="s">
        <v>1482</v>
      </c>
      <c r="D3113" s="12" t="str">
        <f>"1055-0887"</f>
        <v>1055-0887</v>
      </c>
      <c r="E3113" s="5">
        <v>1.5940000000000001</v>
      </c>
      <c r="F3113" s="5">
        <v>0.17100000000000001</v>
      </c>
    </row>
    <row r="3114" spans="2:6" x14ac:dyDescent="0.2">
      <c r="B3114" s="9" t="s">
        <v>1483</v>
      </c>
      <c r="C3114" s="15" t="s">
        <v>1484</v>
      </c>
      <c r="D3114" s="12" t="str">
        <f>"1932-0620"</f>
        <v>1932-0620</v>
      </c>
      <c r="E3114" s="5">
        <v>3.702</v>
      </c>
      <c r="F3114" s="5">
        <v>0.68300000000000005</v>
      </c>
    </row>
    <row r="3115" spans="2:6" x14ac:dyDescent="0.2">
      <c r="B3115" s="9" t="s">
        <v>1485</v>
      </c>
      <c r="C3115" s="15" t="s">
        <v>1486</v>
      </c>
      <c r="D3115" s="12" t="str">
        <f>"1088-4602"</f>
        <v>1088-4602</v>
      </c>
      <c r="E3115" s="5">
        <v>1.476</v>
      </c>
      <c r="F3115" s="5">
        <v>0.33300000000000002</v>
      </c>
    </row>
    <row r="3116" spans="2:6" x14ac:dyDescent="0.2">
      <c r="B3116" s="9" t="s">
        <v>5536</v>
      </c>
      <c r="C3116" s="15" t="s">
        <v>4525</v>
      </c>
      <c r="D3116" s="12" t="str">
        <f>"1461-5185"</f>
        <v>1461-5185</v>
      </c>
      <c r="E3116" s="5">
        <v>2.359</v>
      </c>
      <c r="F3116" s="5">
        <v>0.45100000000000001</v>
      </c>
    </row>
    <row r="3117" spans="2:6" x14ac:dyDescent="0.2">
      <c r="B3117" s="9" t="s">
        <v>1487</v>
      </c>
      <c r="C3117" s="15" t="s">
        <v>1488</v>
      </c>
      <c r="D3117" s="12" t="str">
        <f>"0140-1971"</f>
        <v>0140-1971</v>
      </c>
      <c r="E3117" s="5">
        <v>3.2559999999999998</v>
      </c>
      <c r="F3117" s="5">
        <v>0.68799999999999994</v>
      </c>
    </row>
    <row r="3118" spans="2:6" x14ac:dyDescent="0.2">
      <c r="B3118" s="9" t="s">
        <v>5537</v>
      </c>
      <c r="C3118" s="15" t="s">
        <v>4526</v>
      </c>
      <c r="D3118" s="12" t="str">
        <f>"1054-139X"</f>
        <v>1054-139X</v>
      </c>
      <c r="E3118" s="5">
        <v>5.0119999999999996</v>
      </c>
      <c r="F3118" s="5">
        <v>0.94599999999999995</v>
      </c>
    </row>
    <row r="3119" spans="2:6" x14ac:dyDescent="0.2">
      <c r="B3119" s="9" t="s">
        <v>1489</v>
      </c>
      <c r="C3119" s="15" t="s">
        <v>1490</v>
      </c>
      <c r="D3119" s="12" t="str">
        <f>"0743-5584"</f>
        <v>0743-5584</v>
      </c>
      <c r="E3119" s="5">
        <v>2.9460000000000002</v>
      </c>
      <c r="F3119" s="5">
        <v>0.61</v>
      </c>
    </row>
    <row r="3120" spans="2:6" x14ac:dyDescent="0.2">
      <c r="B3120" s="9" t="s">
        <v>10132</v>
      </c>
      <c r="C3120" s="15" t="s">
        <v>10133</v>
      </c>
      <c r="D3120" s="12" t="str">
        <f>"2156-5333"</f>
        <v>2156-5333</v>
      </c>
      <c r="E3120" s="5">
        <v>2.2229999999999999</v>
      </c>
      <c r="F3120" s="5">
        <v>0.1</v>
      </c>
    </row>
    <row r="3121" spans="2:6" x14ac:dyDescent="0.2">
      <c r="B3121" s="9" t="s">
        <v>1491</v>
      </c>
      <c r="C3121" s="15" t="s">
        <v>1492</v>
      </c>
      <c r="D3121" s="12" t="str">
        <f>"1068-0667"</f>
        <v>1068-0667</v>
      </c>
      <c r="E3121" s="5">
        <v>1.909</v>
      </c>
      <c r="F3121" s="5">
        <v>0.27300000000000002</v>
      </c>
    </row>
    <row r="3122" spans="2:6" x14ac:dyDescent="0.2">
      <c r="B3122" s="9" t="s">
        <v>10134</v>
      </c>
      <c r="C3122" s="15" t="s">
        <v>10135</v>
      </c>
      <c r="D3122" s="12" t="str">
        <f>"1881-3054"</f>
        <v>1881-3054</v>
      </c>
      <c r="E3122" s="5">
        <v>0.60899999999999999</v>
      </c>
      <c r="F3122" s="5">
        <v>0.06</v>
      </c>
    </row>
    <row r="3123" spans="2:6" x14ac:dyDescent="0.2">
      <c r="B3123" s="9" t="s">
        <v>5538</v>
      </c>
      <c r="C3123" s="15" t="s">
        <v>4527</v>
      </c>
      <c r="D3123" s="12" t="str">
        <f>"1365-2648"</f>
        <v>1365-2648</v>
      </c>
      <c r="E3123" s="5">
        <v>3.1869999999999998</v>
      </c>
      <c r="F3123" s="5">
        <v>0.93700000000000006</v>
      </c>
    </row>
    <row r="3124" spans="2:6" x14ac:dyDescent="0.2">
      <c r="B3124" s="9" t="s">
        <v>10136</v>
      </c>
      <c r="C3124" s="15" t="s">
        <v>10137</v>
      </c>
      <c r="D3124" s="12" t="str">
        <f>"2005-7806"</f>
        <v>2005-7806</v>
      </c>
      <c r="E3124" s="5">
        <v>1.9039999999999999</v>
      </c>
      <c r="F3124" s="5">
        <v>0.29699999999999999</v>
      </c>
    </row>
    <row r="3125" spans="2:6" x14ac:dyDescent="0.2">
      <c r="B3125" s="9" t="s">
        <v>10138</v>
      </c>
      <c r="C3125" s="15" t="s">
        <v>10139</v>
      </c>
      <c r="D3125" s="12" t="str">
        <f>"2090-1232"</f>
        <v>2090-1232</v>
      </c>
      <c r="E3125" s="5">
        <v>10.478999999999999</v>
      </c>
      <c r="F3125" s="5">
        <v>0.88900000000000001</v>
      </c>
    </row>
    <row r="3126" spans="2:6" x14ac:dyDescent="0.2">
      <c r="B3126" s="9" t="s">
        <v>1493</v>
      </c>
      <c r="C3126" s="15" t="s">
        <v>1494</v>
      </c>
      <c r="D3126" s="12" t="str">
        <f>"1941-2711"</f>
        <v>1941-2711</v>
      </c>
      <c r="E3126" s="5">
        <v>2.8490000000000002</v>
      </c>
      <c r="F3126" s="5">
        <v>0.375</v>
      </c>
    </row>
    <row r="3127" spans="2:6" x14ac:dyDescent="0.2">
      <c r="B3127" s="9" t="s">
        <v>5539</v>
      </c>
      <c r="C3127" s="15" t="s">
        <v>4528</v>
      </c>
      <c r="D3127" s="12" t="str">
        <f>"0021-8502"</f>
        <v>0021-8502</v>
      </c>
      <c r="E3127" s="5">
        <v>3.4329999999999998</v>
      </c>
      <c r="F3127" s="5">
        <v>0.72199999999999998</v>
      </c>
    </row>
    <row r="3128" spans="2:6" x14ac:dyDescent="0.2">
      <c r="B3128" s="9" t="s">
        <v>5540</v>
      </c>
      <c r="C3128" s="15" t="s">
        <v>4529</v>
      </c>
      <c r="D3128" s="12" t="str">
        <f>"0165-0327"</f>
        <v>0165-0327</v>
      </c>
      <c r="E3128" s="5">
        <v>4.8390000000000004</v>
      </c>
      <c r="F3128" s="5">
        <v>0.80600000000000005</v>
      </c>
    </row>
    <row r="3129" spans="2:6" x14ac:dyDescent="0.2">
      <c r="B3129" s="9" t="s">
        <v>10140</v>
      </c>
      <c r="C3129" s="15" t="s">
        <v>10141</v>
      </c>
      <c r="D3129" s="12" t="str">
        <f>"1092-6771"</f>
        <v>1092-6771</v>
      </c>
      <c r="E3129" s="5">
        <v>2.0590000000000002</v>
      </c>
      <c r="F3129" s="5">
        <v>0.435</v>
      </c>
    </row>
    <row r="3130" spans="2:6" x14ac:dyDescent="0.2">
      <c r="B3130" s="9" t="s">
        <v>1495</v>
      </c>
      <c r="C3130" s="15" t="s">
        <v>1496</v>
      </c>
      <c r="D3130" s="12" t="str">
        <f>"0898-2643"</f>
        <v>0898-2643</v>
      </c>
      <c r="E3130" s="5">
        <v>3.2130000000000001</v>
      </c>
      <c r="F3130" s="5">
        <v>0.73899999999999999</v>
      </c>
    </row>
    <row r="3131" spans="2:6" x14ac:dyDescent="0.2">
      <c r="B3131" s="9" t="s">
        <v>5541</v>
      </c>
      <c r="C3131" s="15" t="s">
        <v>4530</v>
      </c>
      <c r="D3131" s="12" t="str">
        <f>"1063-8652"</f>
        <v>1063-8652</v>
      </c>
      <c r="E3131" s="5">
        <v>1.9610000000000001</v>
      </c>
      <c r="F3131" s="5">
        <v>0.27800000000000002</v>
      </c>
    </row>
    <row r="3132" spans="2:6" x14ac:dyDescent="0.2">
      <c r="B3132" s="9" t="s">
        <v>5542</v>
      </c>
      <c r="C3132" s="15" t="s">
        <v>4531</v>
      </c>
      <c r="D3132" s="12" t="str">
        <f>"1085-7117"</f>
        <v>1085-7117</v>
      </c>
      <c r="E3132" s="5">
        <v>1.524</v>
      </c>
      <c r="F3132" s="5">
        <v>0.52</v>
      </c>
    </row>
    <row r="3133" spans="2:6" x14ac:dyDescent="0.2">
      <c r="B3133" s="9" t="s">
        <v>5543</v>
      </c>
      <c r="C3133" s="15" t="s">
        <v>4532</v>
      </c>
      <c r="D3133" s="12" t="str">
        <f>"1187-7863"</f>
        <v>1187-7863</v>
      </c>
      <c r="E3133" s="5">
        <v>1.7270000000000001</v>
      </c>
      <c r="F3133" s="5">
        <v>0.78400000000000003</v>
      </c>
    </row>
    <row r="3134" spans="2:6" x14ac:dyDescent="0.2">
      <c r="B3134" s="9" t="s">
        <v>10142</v>
      </c>
      <c r="C3134" s="15" t="s">
        <v>10143</v>
      </c>
      <c r="D3134" s="12" t="str">
        <f>"1059-924X"</f>
        <v>1059-924X</v>
      </c>
      <c r="E3134" s="5">
        <v>1.675</v>
      </c>
      <c r="F3134" s="5">
        <v>0.25600000000000001</v>
      </c>
    </row>
    <row r="3135" spans="2:6" x14ac:dyDescent="0.2">
      <c r="B3135" s="9" t="s">
        <v>7689</v>
      </c>
      <c r="C3135" s="15" t="s">
        <v>3604</v>
      </c>
      <c r="D3135" s="12" t="str">
        <f>"1525-4135"</f>
        <v>1525-4135</v>
      </c>
      <c r="E3135" s="5">
        <v>3.7309999999999999</v>
      </c>
      <c r="F3135" s="5">
        <v>0.57599999999999996</v>
      </c>
    </row>
    <row r="3136" spans="2:6" x14ac:dyDescent="0.2">
      <c r="B3136" s="9" t="s">
        <v>10144</v>
      </c>
      <c r="C3136" s="15" t="s">
        <v>10145</v>
      </c>
      <c r="D3136" s="12" t="str">
        <f>"2213-2198"</f>
        <v>2213-2198</v>
      </c>
      <c r="E3136" s="5">
        <v>8.8610000000000007</v>
      </c>
      <c r="F3136" s="5">
        <v>0.92900000000000005</v>
      </c>
    </row>
    <row r="3137" spans="2:6" x14ac:dyDescent="0.2">
      <c r="B3137" s="9" t="s">
        <v>5544</v>
      </c>
      <c r="C3137" s="15" t="s">
        <v>4533</v>
      </c>
      <c r="D3137" s="12" t="str">
        <f>"0091-6749"</f>
        <v>0091-6749</v>
      </c>
      <c r="E3137" s="5">
        <v>10.792999999999999</v>
      </c>
      <c r="F3137" s="5">
        <v>0.96399999999999997</v>
      </c>
    </row>
    <row r="3138" spans="2:6" x14ac:dyDescent="0.2">
      <c r="B3138" s="9" t="s">
        <v>5545</v>
      </c>
      <c r="C3138" s="15" t="s">
        <v>4534</v>
      </c>
      <c r="D3138" s="12" t="str">
        <f>"1075-5535"</f>
        <v>1075-5535</v>
      </c>
      <c r="E3138" s="5">
        <v>2.5790000000000002</v>
      </c>
      <c r="F3138" s="5">
        <v>0.57099999999999995</v>
      </c>
    </row>
    <row r="3139" spans="2:6" x14ac:dyDescent="0.2">
      <c r="B3139" s="9" t="s">
        <v>5546</v>
      </c>
      <c r="C3139" s="15" t="s">
        <v>4535</v>
      </c>
      <c r="D3139" s="12" t="str">
        <f>"1387-2877"</f>
        <v>1387-2877</v>
      </c>
      <c r="E3139" s="5">
        <v>4.4720000000000004</v>
      </c>
      <c r="F3139" s="5">
        <v>0.65900000000000003</v>
      </c>
    </row>
    <row r="3140" spans="2:6" x14ac:dyDescent="0.2">
      <c r="B3140" s="9" t="s">
        <v>1497</v>
      </c>
      <c r="C3140" s="15" t="s">
        <v>1498</v>
      </c>
      <c r="D3140" s="12" t="str">
        <f>"1050-0545"</f>
        <v>1050-0545</v>
      </c>
      <c r="E3140" s="5">
        <v>1.6639999999999999</v>
      </c>
      <c r="F3140" s="5">
        <v>0.29499999999999998</v>
      </c>
    </row>
    <row r="3141" spans="2:6" ht="25.5" x14ac:dyDescent="0.2">
      <c r="B3141" s="9" t="s">
        <v>5547</v>
      </c>
      <c r="C3141" s="15" t="s">
        <v>4536</v>
      </c>
      <c r="D3141" s="12" t="str">
        <f>"0890-8567"</f>
        <v>0890-8567</v>
      </c>
      <c r="E3141" s="5">
        <v>8.8290000000000006</v>
      </c>
      <c r="F3141" s="5">
        <v>0.98699999999999999</v>
      </c>
    </row>
    <row r="3142" spans="2:6" x14ac:dyDescent="0.2">
      <c r="B3142" s="9" t="s">
        <v>5548</v>
      </c>
      <c r="C3142" s="15" t="s">
        <v>4537</v>
      </c>
      <c r="D3142" s="12" t="str">
        <f>"0190-9622"</f>
        <v>0190-9622</v>
      </c>
      <c r="E3142" s="5">
        <v>11.526999999999999</v>
      </c>
      <c r="F3142" s="5">
        <v>1</v>
      </c>
    </row>
    <row r="3143" spans="2:6" x14ac:dyDescent="0.2">
      <c r="B3143" s="9" t="s">
        <v>5549</v>
      </c>
      <c r="C3143" s="15" t="s">
        <v>4538</v>
      </c>
      <c r="D3143" s="12" t="str">
        <f>"1067-151X"</f>
        <v>1067-151X</v>
      </c>
      <c r="E3143" s="5">
        <v>3.02</v>
      </c>
      <c r="F3143" s="5">
        <v>0.67900000000000005</v>
      </c>
    </row>
    <row r="3144" spans="2:6" x14ac:dyDescent="0.2">
      <c r="B3144" s="9" t="s">
        <v>1499</v>
      </c>
      <c r="C3144" s="15" t="s">
        <v>1500</v>
      </c>
      <c r="D3144" s="12" t="str">
        <f>"1943-3662"</f>
        <v>1943-3662</v>
      </c>
      <c r="E3144" s="5">
        <v>2.3490000000000002</v>
      </c>
      <c r="F3144" s="5">
        <v>0.80800000000000005</v>
      </c>
    </row>
    <row r="3145" spans="2:6" x14ac:dyDescent="0.2">
      <c r="B3145" s="9" t="s">
        <v>10146</v>
      </c>
      <c r="C3145" s="15" t="s">
        <v>10147</v>
      </c>
      <c r="D3145" s="12" t="str">
        <f>"2380-6583"</f>
        <v>2380-6583</v>
      </c>
      <c r="E3145" s="5">
        <v>14.676</v>
      </c>
      <c r="F3145" s="5">
        <v>0.94299999999999995</v>
      </c>
    </row>
    <row r="3146" spans="2:6" x14ac:dyDescent="0.2">
      <c r="B3146" s="9" t="s">
        <v>10148</v>
      </c>
      <c r="C3146" s="15" t="s">
        <v>10149</v>
      </c>
      <c r="D3146" s="12" t="str">
        <f>"2168-6068"</f>
        <v>2168-6068</v>
      </c>
      <c r="E3146" s="5">
        <v>10.282</v>
      </c>
      <c r="F3146" s="5">
        <v>0.98499999999999999</v>
      </c>
    </row>
    <row r="3147" spans="2:6" x14ac:dyDescent="0.2">
      <c r="B3147" s="9" t="s">
        <v>10150</v>
      </c>
      <c r="C3147" s="15" t="s">
        <v>10151</v>
      </c>
      <c r="D3147" s="12" t="str">
        <f>"2168-6092"</f>
        <v>2168-6092</v>
      </c>
      <c r="E3147" s="5">
        <v>4.6109999999999998</v>
      </c>
      <c r="F3147" s="5">
        <v>0.85699999999999998</v>
      </c>
    </row>
    <row r="3148" spans="2:6" x14ac:dyDescent="0.2">
      <c r="B3148" s="9" t="s">
        <v>10152</v>
      </c>
      <c r="C3148" s="15" t="s">
        <v>10153</v>
      </c>
      <c r="D3148" s="12" t="str">
        <f>"2168-6106"</f>
        <v>2168-6106</v>
      </c>
      <c r="E3148" s="5">
        <v>21.873000000000001</v>
      </c>
      <c r="F3148" s="5">
        <v>0.95799999999999996</v>
      </c>
    </row>
    <row r="3149" spans="2:6" x14ac:dyDescent="0.2">
      <c r="B3149" s="9" t="s">
        <v>7690</v>
      </c>
      <c r="C3149" s="15" t="s">
        <v>3605</v>
      </c>
      <c r="D3149" s="12" t="str">
        <f>"0098-7484"</f>
        <v>0098-7484</v>
      </c>
      <c r="E3149" s="5">
        <v>56.271999999999998</v>
      </c>
      <c r="F3149" s="5">
        <v>0.98799999999999999</v>
      </c>
    </row>
    <row r="3150" spans="2:6" x14ac:dyDescent="0.2">
      <c r="B3150" s="9" t="s">
        <v>10154</v>
      </c>
      <c r="C3150" s="15" t="s">
        <v>10155</v>
      </c>
      <c r="D3150" s="12" t="str">
        <f>"2574-3805"</f>
        <v>2574-3805</v>
      </c>
      <c r="E3150" s="5">
        <v>8.4830000000000005</v>
      </c>
      <c r="F3150" s="5">
        <v>0.91600000000000004</v>
      </c>
    </row>
    <row r="3151" spans="2:6" x14ac:dyDescent="0.2">
      <c r="B3151" s="9" t="s">
        <v>10156</v>
      </c>
      <c r="C3151" s="15" t="s">
        <v>10157</v>
      </c>
      <c r="D3151" s="12" t="str">
        <f>"2168-6157"</f>
        <v>2168-6157</v>
      </c>
      <c r="E3151" s="5">
        <v>18.302</v>
      </c>
      <c r="F3151" s="5">
        <v>0.98599999999999999</v>
      </c>
    </row>
    <row r="3152" spans="2:6" x14ac:dyDescent="0.2">
      <c r="B3152" s="9" t="s">
        <v>5550</v>
      </c>
      <c r="C3152" s="15" t="s">
        <v>4539</v>
      </c>
      <c r="D3152" s="12" t="str">
        <f>"0587-2871"</f>
        <v>0587-2871</v>
      </c>
      <c r="E3152" s="5">
        <v>1.0229999999999999</v>
      </c>
      <c r="F3152" s="5">
        <v>0.34200000000000003</v>
      </c>
    </row>
    <row r="3153" spans="2:6" x14ac:dyDescent="0.2">
      <c r="B3153" s="9" t="s">
        <v>10158</v>
      </c>
      <c r="C3153" s="15" t="s">
        <v>10159</v>
      </c>
      <c r="D3153" s="12" t="str">
        <f>"2374-2445"</f>
        <v>2374-2445</v>
      </c>
      <c r="E3153" s="5">
        <v>31.777000000000001</v>
      </c>
      <c r="F3153" s="5">
        <v>0.97099999999999997</v>
      </c>
    </row>
    <row r="3154" spans="2:6" x14ac:dyDescent="0.2">
      <c r="B3154" s="9" t="s">
        <v>10160</v>
      </c>
      <c r="C3154" s="15" t="s">
        <v>10161</v>
      </c>
      <c r="D3154" s="12" t="str">
        <f>"2168-6165"</f>
        <v>2168-6165</v>
      </c>
      <c r="E3154" s="5">
        <v>7.3890000000000002</v>
      </c>
      <c r="F3154" s="5">
        <v>0.96799999999999997</v>
      </c>
    </row>
    <row r="3155" spans="2:6" x14ac:dyDescent="0.2">
      <c r="B3155" s="9" t="s">
        <v>10162</v>
      </c>
      <c r="C3155" s="15" t="s">
        <v>10163</v>
      </c>
      <c r="D3155" s="12" t="str">
        <f>"2168-6181"</f>
        <v>2168-6181</v>
      </c>
      <c r="E3155" s="5">
        <v>6.2229999999999999</v>
      </c>
      <c r="F3155" s="5">
        <v>1</v>
      </c>
    </row>
    <row r="3156" spans="2:6" x14ac:dyDescent="0.2">
      <c r="B3156" s="9" t="s">
        <v>10164</v>
      </c>
      <c r="C3156" s="15" t="s">
        <v>10165</v>
      </c>
      <c r="D3156" s="12" t="str">
        <f>"2168-6203"</f>
        <v>2168-6203</v>
      </c>
      <c r="E3156" s="5">
        <v>16.193000000000001</v>
      </c>
      <c r="F3156" s="5">
        <v>1</v>
      </c>
    </row>
    <row r="3157" spans="2:6" x14ac:dyDescent="0.2">
      <c r="B3157" s="9" t="s">
        <v>10166</v>
      </c>
      <c r="C3157" s="15" t="s">
        <v>10167</v>
      </c>
      <c r="D3157" s="12" t="str">
        <f>"2168-622X"</f>
        <v>2168-622X</v>
      </c>
      <c r="E3157" s="5">
        <v>21.596</v>
      </c>
      <c r="F3157" s="5">
        <v>0.99099999999999999</v>
      </c>
    </row>
    <row r="3158" spans="2:6" x14ac:dyDescent="0.2">
      <c r="B3158" s="9" t="s">
        <v>5551</v>
      </c>
      <c r="C3158" s="15" t="s">
        <v>4540</v>
      </c>
      <c r="D3158" s="12" t="str">
        <f>"1559-6109"</f>
        <v>1559-6109</v>
      </c>
      <c r="E3158" s="5">
        <v>1.232</v>
      </c>
      <c r="F3158" s="5">
        <v>0.39700000000000002</v>
      </c>
    </row>
    <row r="3159" spans="2:6" x14ac:dyDescent="0.2">
      <c r="B3159" s="9" t="s">
        <v>10168</v>
      </c>
      <c r="C3159" s="15" t="s">
        <v>10169</v>
      </c>
      <c r="D3159" s="12" t="str">
        <f>"2327-6886"</f>
        <v>2327-6886</v>
      </c>
      <c r="E3159" s="5">
        <v>1.165</v>
      </c>
      <c r="F3159" s="5">
        <v>0.19</v>
      </c>
    </row>
    <row r="3160" spans="2:6" x14ac:dyDescent="0.2">
      <c r="B3160" s="9" t="s">
        <v>10170</v>
      </c>
      <c r="C3160" s="15" t="s">
        <v>10171</v>
      </c>
      <c r="D3160" s="12" t="str">
        <f>"2168-6254"</f>
        <v>2168-6254</v>
      </c>
      <c r="E3160" s="5">
        <v>14.766</v>
      </c>
      <c r="F3160" s="5">
        <v>1</v>
      </c>
    </row>
    <row r="3161" spans="2:6" x14ac:dyDescent="0.2">
      <c r="B3161" s="9" t="s">
        <v>5552</v>
      </c>
      <c r="C3161" s="15" t="s">
        <v>4541</v>
      </c>
      <c r="D3161" s="12" t="str">
        <f>"1557-2625"</f>
        <v>1557-2625</v>
      </c>
      <c r="E3161" s="5">
        <v>2.657</v>
      </c>
      <c r="F3161" s="5">
        <v>0.66700000000000004</v>
      </c>
    </row>
    <row r="3162" spans="2:6" x14ac:dyDescent="0.2">
      <c r="B3162" s="9" t="s">
        <v>6310</v>
      </c>
      <c r="C3162" s="15" t="s">
        <v>4542</v>
      </c>
      <c r="D3162" s="12" t="str">
        <f>"0002-7863"</f>
        <v>0002-7863</v>
      </c>
      <c r="E3162" s="5">
        <v>15.419</v>
      </c>
      <c r="F3162" s="5">
        <v>0.92100000000000004</v>
      </c>
    </row>
    <row r="3163" spans="2:6" x14ac:dyDescent="0.2">
      <c r="B3163" s="9" t="s">
        <v>6311</v>
      </c>
      <c r="C3163" s="15" t="s">
        <v>4543</v>
      </c>
      <c r="D3163" s="12" t="str">
        <f>"0735-1097"</f>
        <v>0735-1097</v>
      </c>
      <c r="E3163" s="5">
        <v>24.094000000000001</v>
      </c>
      <c r="F3163" s="5">
        <v>0.97899999999999998</v>
      </c>
    </row>
    <row r="3164" spans="2:6" x14ac:dyDescent="0.2">
      <c r="B3164" s="9" t="s">
        <v>1501</v>
      </c>
      <c r="C3164" s="15" t="s">
        <v>1502</v>
      </c>
      <c r="D3164" s="12" t="str">
        <f>"0744-8481"</f>
        <v>0744-8481</v>
      </c>
      <c r="E3164" s="5">
        <v>3.0870000000000002</v>
      </c>
      <c r="F3164" s="5">
        <v>0.72</v>
      </c>
    </row>
    <row r="3165" spans="2:6" x14ac:dyDescent="0.2">
      <c r="B3165" s="9" t="s">
        <v>6312</v>
      </c>
      <c r="C3165" s="15" t="s">
        <v>4544</v>
      </c>
      <c r="D3165" s="12" t="str">
        <f>"0731-5724"</f>
        <v>0731-5724</v>
      </c>
      <c r="E3165" s="5">
        <v>3.169</v>
      </c>
      <c r="F3165" s="5">
        <v>0.39800000000000002</v>
      </c>
    </row>
    <row r="3166" spans="2:6" x14ac:dyDescent="0.2">
      <c r="B3166" s="9" t="s">
        <v>10172</v>
      </c>
      <c r="C3166" s="15" t="s">
        <v>10173</v>
      </c>
      <c r="D3166" s="12" t="str">
        <f>"1558-349X"</f>
        <v>1558-349X</v>
      </c>
      <c r="E3166" s="5">
        <v>5.532</v>
      </c>
      <c r="F3166" s="5">
        <v>0.872</v>
      </c>
    </row>
    <row r="3167" spans="2:6" x14ac:dyDescent="0.2">
      <c r="B3167" s="9" t="s">
        <v>6313</v>
      </c>
      <c r="C3167" s="15" t="s">
        <v>4545</v>
      </c>
      <c r="D3167" s="12" t="str">
        <f>"1072-7515"</f>
        <v>1072-7515</v>
      </c>
      <c r="E3167" s="5">
        <v>6.1130000000000004</v>
      </c>
      <c r="F3167" s="5">
        <v>0.93799999999999994</v>
      </c>
    </row>
    <row r="3168" spans="2:6" x14ac:dyDescent="0.2">
      <c r="B3168" s="9" t="s">
        <v>6314</v>
      </c>
      <c r="C3168" s="15" t="s">
        <v>4546</v>
      </c>
      <c r="D3168" s="12" t="str">
        <f>"0002-8177"</f>
        <v>0002-8177</v>
      </c>
      <c r="E3168" s="5">
        <v>3.6339999999999999</v>
      </c>
      <c r="F3168" s="5">
        <v>0.79100000000000004</v>
      </c>
    </row>
    <row r="3169" spans="2:6" x14ac:dyDescent="0.2">
      <c r="B3169" s="9" t="s">
        <v>6315</v>
      </c>
      <c r="C3169" s="15" t="s">
        <v>4547</v>
      </c>
      <c r="D3169" s="12" t="str">
        <f>"0002-8614"</f>
        <v>0002-8614</v>
      </c>
      <c r="E3169" s="5">
        <v>5.5620000000000003</v>
      </c>
      <c r="F3169" s="5">
        <v>0.97199999999999998</v>
      </c>
    </row>
    <row r="3170" spans="2:6" x14ac:dyDescent="0.2">
      <c r="B3170" s="9" t="s">
        <v>10174</v>
      </c>
      <c r="C3170" s="15" t="s">
        <v>10175</v>
      </c>
      <c r="D3170" s="12" t="str">
        <f>"2047-9980"</f>
        <v>2047-9980</v>
      </c>
      <c r="E3170" s="5">
        <v>5.5010000000000003</v>
      </c>
      <c r="F3170" s="5">
        <v>0.75900000000000001</v>
      </c>
    </row>
    <row r="3171" spans="2:6" x14ac:dyDescent="0.2">
      <c r="B3171" s="9" t="s">
        <v>1503</v>
      </c>
      <c r="C3171" s="15" t="s">
        <v>1504</v>
      </c>
      <c r="D3171" s="12" t="str">
        <f>"1538-9375"</f>
        <v>1538-9375</v>
      </c>
      <c r="E3171" s="5">
        <v>4.6689999999999996</v>
      </c>
      <c r="F3171" s="5">
        <v>0.73599999999999999</v>
      </c>
    </row>
    <row r="3172" spans="2:6" x14ac:dyDescent="0.2">
      <c r="B3172" s="9" t="s">
        <v>6316</v>
      </c>
      <c r="C3172" s="15" t="s">
        <v>4548</v>
      </c>
      <c r="D3172" s="12" t="str">
        <f>"1067-5027"</f>
        <v>1067-5027</v>
      </c>
      <c r="E3172" s="5">
        <v>4.4969999999999999</v>
      </c>
      <c r="F3172" s="5">
        <v>0.82199999999999995</v>
      </c>
    </row>
    <row r="3173" spans="2:6" x14ac:dyDescent="0.2">
      <c r="B3173" s="9" t="s">
        <v>1505</v>
      </c>
      <c r="C3173" s="15" t="s">
        <v>1506</v>
      </c>
      <c r="D3173" s="12" t="str">
        <f>"1544-3191"</f>
        <v>1544-3191</v>
      </c>
      <c r="E3173" s="5">
        <v>2.2170000000000001</v>
      </c>
      <c r="F3173" s="5">
        <v>0.22900000000000001</v>
      </c>
    </row>
    <row r="3174" spans="2:6" x14ac:dyDescent="0.2">
      <c r="B3174" s="9" t="s">
        <v>6317</v>
      </c>
      <c r="C3174" s="15" t="s">
        <v>4549</v>
      </c>
      <c r="D3174" s="12" t="str">
        <f>"8750-7315"</f>
        <v>8750-7315</v>
      </c>
      <c r="E3174" s="5">
        <v>0.67500000000000004</v>
      </c>
      <c r="F3174" s="5">
        <v>6.2E-2</v>
      </c>
    </row>
    <row r="3175" spans="2:6" x14ac:dyDescent="0.2">
      <c r="B3175" s="9" t="s">
        <v>10176</v>
      </c>
      <c r="C3175" s="15" t="s">
        <v>10177</v>
      </c>
      <c r="D3175" s="12" t="str">
        <f>"1078-3903"</f>
        <v>1078-3903</v>
      </c>
      <c r="E3175" s="5">
        <v>2.3849999999999998</v>
      </c>
      <c r="F3175" s="5">
        <v>0.77</v>
      </c>
    </row>
    <row r="3176" spans="2:6" x14ac:dyDescent="0.2">
      <c r="B3176" s="9" t="s">
        <v>1507</v>
      </c>
      <c r="C3176" s="15" t="s">
        <v>1508</v>
      </c>
      <c r="D3176" s="12" t="str">
        <f>"0003-0651"</f>
        <v>0003-0651</v>
      </c>
      <c r="E3176" s="5">
        <v>1.079</v>
      </c>
      <c r="F3176" s="5">
        <v>0.92300000000000004</v>
      </c>
    </row>
    <row r="3177" spans="2:6" x14ac:dyDescent="0.2">
      <c r="B3177" s="9" t="s">
        <v>6318</v>
      </c>
      <c r="C3177" s="15" t="s">
        <v>4550</v>
      </c>
      <c r="D3177" s="12" t="str">
        <f>"0361-0470"</f>
        <v>0361-0470</v>
      </c>
      <c r="E3177" s="5">
        <v>2.0619999999999998</v>
      </c>
      <c r="F3177" s="5">
        <v>0.35</v>
      </c>
    </row>
    <row r="3178" spans="2:6" x14ac:dyDescent="0.2">
      <c r="B3178" s="9" t="s">
        <v>6319</v>
      </c>
      <c r="C3178" s="15" t="s">
        <v>4551</v>
      </c>
      <c r="D3178" s="12" t="str">
        <f>"0894-7317"</f>
        <v>0894-7317</v>
      </c>
      <c r="E3178" s="5">
        <v>5.2510000000000003</v>
      </c>
      <c r="F3178" s="5">
        <v>0.73799999999999999</v>
      </c>
    </row>
    <row r="3179" spans="2:6" x14ac:dyDescent="0.2">
      <c r="B3179" s="9" t="s">
        <v>6320</v>
      </c>
      <c r="C3179" s="15" t="s">
        <v>4552</v>
      </c>
      <c r="D3179" s="12" t="str">
        <f>"1044-0305"</f>
        <v>1044-0305</v>
      </c>
      <c r="E3179" s="5">
        <v>3.109</v>
      </c>
      <c r="F3179" s="5">
        <v>0.79100000000000004</v>
      </c>
    </row>
    <row r="3180" spans="2:6" x14ac:dyDescent="0.2">
      <c r="B3180" s="9" t="s">
        <v>6321</v>
      </c>
      <c r="C3180" s="15" t="s">
        <v>4553</v>
      </c>
      <c r="D3180" s="12" t="str">
        <f>"1046-6673"</f>
        <v>1046-6673</v>
      </c>
      <c r="E3180" s="5">
        <v>10.121</v>
      </c>
      <c r="F3180" s="5">
        <v>0.94399999999999995</v>
      </c>
    </row>
    <row r="3181" spans="2:6" x14ac:dyDescent="0.2">
      <c r="B3181" s="9" t="s">
        <v>6322</v>
      </c>
      <c r="C3181" s="15" t="s">
        <v>4554</v>
      </c>
      <c r="D3181" s="12" t="str">
        <f>"0162-1459"</f>
        <v>0162-1459</v>
      </c>
      <c r="E3181" s="5">
        <v>5.0330000000000004</v>
      </c>
      <c r="F3181" s="5">
        <v>0.94399999999999995</v>
      </c>
    </row>
    <row r="3182" spans="2:6" x14ac:dyDescent="0.2">
      <c r="B3182" s="9" t="s">
        <v>6323</v>
      </c>
      <c r="C3182" s="15" t="s">
        <v>4555</v>
      </c>
      <c r="D3182" s="12" t="str">
        <f>"0165-2370"</f>
        <v>0165-2370</v>
      </c>
      <c r="E3182" s="5">
        <v>5.5410000000000004</v>
      </c>
      <c r="F3182" s="5">
        <v>0.84299999999999997</v>
      </c>
    </row>
    <row r="3183" spans="2:6" x14ac:dyDescent="0.2">
      <c r="B3183" s="9" t="s">
        <v>6324</v>
      </c>
      <c r="C3183" s="15" t="s">
        <v>4556</v>
      </c>
      <c r="D3183" s="12" t="str">
        <f>"0267-9477"</f>
        <v>0267-9477</v>
      </c>
      <c r="E3183" s="5">
        <v>4.0229999999999997</v>
      </c>
      <c r="F3183" s="5">
        <v>0.86</v>
      </c>
    </row>
    <row r="3184" spans="2:6" x14ac:dyDescent="0.2">
      <c r="B3184" s="9" t="s">
        <v>6325</v>
      </c>
      <c r="C3184" s="15" t="s">
        <v>4557</v>
      </c>
      <c r="D3184" s="12" t="str">
        <f>"1061-9348"</f>
        <v>1061-9348</v>
      </c>
      <c r="E3184" s="5">
        <v>1.069</v>
      </c>
      <c r="F3184" s="5">
        <v>7.1999999999999995E-2</v>
      </c>
    </row>
    <row r="3185" spans="2:6" x14ac:dyDescent="0.2">
      <c r="B3185" s="9" t="s">
        <v>10178</v>
      </c>
      <c r="C3185" s="15" t="s">
        <v>10179</v>
      </c>
      <c r="D3185" s="12" t="str">
        <f>"2090-8865"</f>
        <v>2090-8865</v>
      </c>
      <c r="E3185" s="5">
        <v>2.1930000000000001</v>
      </c>
      <c r="F3185" s="5">
        <v>0.28899999999999998</v>
      </c>
    </row>
    <row r="3186" spans="2:6" x14ac:dyDescent="0.2">
      <c r="B3186" s="9" t="s">
        <v>10180</v>
      </c>
      <c r="C3186" s="15" t="s">
        <v>10181</v>
      </c>
      <c r="D3186" s="12" t="str">
        <f>"2093-3134"</f>
        <v>2093-3134</v>
      </c>
      <c r="E3186" s="5">
        <v>2.7690000000000001</v>
      </c>
      <c r="F3186" s="5">
        <v>0.42199999999999999</v>
      </c>
    </row>
    <row r="3187" spans="2:6" x14ac:dyDescent="0.2">
      <c r="B3187" s="9" t="s">
        <v>6326</v>
      </c>
      <c r="C3187" s="15" t="s">
        <v>4558</v>
      </c>
      <c r="D3187" s="12" t="str">
        <f>"0146-4760"</f>
        <v>0146-4760</v>
      </c>
      <c r="E3187" s="5">
        <v>3.367</v>
      </c>
      <c r="F3187" s="5">
        <v>0.627</v>
      </c>
    </row>
    <row r="3188" spans="2:6" x14ac:dyDescent="0.2">
      <c r="B3188" s="9" t="s">
        <v>6327</v>
      </c>
      <c r="C3188" s="15" t="s">
        <v>4559</v>
      </c>
      <c r="D3188" s="12" t="str">
        <f>"0021-8782"</f>
        <v>0021-8782</v>
      </c>
      <c r="E3188" s="5">
        <v>2.61</v>
      </c>
      <c r="F3188" s="5">
        <v>0.76200000000000001</v>
      </c>
    </row>
    <row r="3189" spans="2:6" x14ac:dyDescent="0.2">
      <c r="B3189" s="9" t="s">
        <v>10182</v>
      </c>
      <c r="C3189" s="15" t="s">
        <v>10183</v>
      </c>
      <c r="D3189" s="12" t="str">
        <f>"0003-2778"</f>
        <v>0003-2778</v>
      </c>
      <c r="E3189" s="5">
        <v>0.15</v>
      </c>
      <c r="F3189" s="5">
        <v>4.8000000000000001E-2</v>
      </c>
    </row>
    <row r="3190" spans="2:6" x14ac:dyDescent="0.2">
      <c r="B3190" s="9" t="s">
        <v>1509</v>
      </c>
      <c r="C3190" s="15" t="s">
        <v>1510</v>
      </c>
      <c r="D3190" s="12" t="str">
        <f>"0913-8668"</f>
        <v>0913-8668</v>
      </c>
      <c r="E3190" s="5">
        <v>2.0779999999999998</v>
      </c>
      <c r="F3190" s="5">
        <v>0.21199999999999999</v>
      </c>
    </row>
    <row r="3191" spans="2:6" x14ac:dyDescent="0.2">
      <c r="B3191" s="9" t="s">
        <v>6328</v>
      </c>
      <c r="C3191" s="15" t="s">
        <v>4560</v>
      </c>
      <c r="D3191" s="12" t="str">
        <f>"0931-2439"</f>
        <v>0931-2439</v>
      </c>
      <c r="E3191" s="5">
        <v>2.13</v>
      </c>
      <c r="F3191" s="5">
        <v>0.70499999999999996</v>
      </c>
    </row>
    <row r="3192" spans="2:6" x14ac:dyDescent="0.2">
      <c r="B3192" s="9" t="s">
        <v>10184</v>
      </c>
      <c r="C3192" s="15" t="s">
        <v>10185</v>
      </c>
      <c r="D3192" s="12" t="str">
        <f>"1018-7081"</f>
        <v>1018-7081</v>
      </c>
      <c r="E3192" s="5">
        <v>0.49</v>
      </c>
      <c r="F3192" s="5">
        <v>0.158</v>
      </c>
    </row>
    <row r="3193" spans="2:6" x14ac:dyDescent="0.2">
      <c r="B3193" s="9" t="s">
        <v>10186</v>
      </c>
      <c r="C3193" s="15" t="s">
        <v>10187</v>
      </c>
      <c r="D3193" s="12" t="str">
        <f>"2672-0191"</f>
        <v>2672-0191</v>
      </c>
      <c r="E3193" s="5">
        <v>2.2250000000000001</v>
      </c>
      <c r="F3193" s="5">
        <v>0.74</v>
      </c>
    </row>
    <row r="3194" spans="2:6" x14ac:dyDescent="0.2">
      <c r="B3194" s="9" t="s">
        <v>6329</v>
      </c>
      <c r="C3194" s="15" t="s">
        <v>4561</v>
      </c>
      <c r="D3194" s="12" t="str">
        <f>"0021-8820"</f>
        <v>0021-8820</v>
      </c>
      <c r="E3194" s="5">
        <v>2.649</v>
      </c>
      <c r="F3194" s="5">
        <v>0.35399999999999998</v>
      </c>
    </row>
    <row r="3195" spans="2:6" x14ac:dyDescent="0.2">
      <c r="B3195" s="9" t="s">
        <v>6330</v>
      </c>
      <c r="C3195" s="15" t="s">
        <v>4562</v>
      </c>
      <c r="D3195" s="12" t="str">
        <f>"0305-7453"</f>
        <v>0305-7453</v>
      </c>
      <c r="E3195" s="5">
        <v>5.79</v>
      </c>
      <c r="F3195" s="5">
        <v>0.85899999999999999</v>
      </c>
    </row>
    <row r="3196" spans="2:6" x14ac:dyDescent="0.2">
      <c r="B3196" s="9" t="s">
        <v>1511</v>
      </c>
      <c r="C3196" s="15" t="s">
        <v>1512</v>
      </c>
      <c r="D3196" s="12" t="str">
        <f>"0887-6185"</f>
        <v>0887-6185</v>
      </c>
      <c r="E3196" s="5">
        <v>5.2640000000000002</v>
      </c>
      <c r="F3196" s="5">
        <v>0.877</v>
      </c>
    </row>
    <row r="3197" spans="2:6" x14ac:dyDescent="0.2">
      <c r="B3197" s="9" t="s">
        <v>6331</v>
      </c>
      <c r="C3197" s="15" t="s">
        <v>4563</v>
      </c>
      <c r="D3197" s="12" t="str">
        <f>"1060-3271"</f>
        <v>1060-3271</v>
      </c>
      <c r="E3197" s="5">
        <v>1.913</v>
      </c>
      <c r="F3197" s="5">
        <v>0.28699999999999998</v>
      </c>
    </row>
    <row r="3198" spans="2:6" x14ac:dyDescent="0.2">
      <c r="B3198" s="9" t="s">
        <v>10188</v>
      </c>
      <c r="C3198" s="15" t="s">
        <v>10188</v>
      </c>
      <c r="D3198" s="12" t="str">
        <f>"1882-7616"</f>
        <v>1882-7616</v>
      </c>
      <c r="E3198" s="5">
        <v>5.093</v>
      </c>
      <c r="F3198" s="5">
        <v>0.89</v>
      </c>
    </row>
    <row r="3199" spans="2:6" x14ac:dyDescent="0.2">
      <c r="B3199" s="9" t="s">
        <v>1513</v>
      </c>
      <c r="C3199" s="15" t="s">
        <v>1514</v>
      </c>
      <c r="D3199" s="12" t="str">
        <f>"1088-8705"</f>
        <v>1088-8705</v>
      </c>
      <c r="E3199" s="5">
        <v>1.44</v>
      </c>
      <c r="F3199" s="5">
        <v>0.47899999999999998</v>
      </c>
    </row>
    <row r="3200" spans="2:6" x14ac:dyDescent="0.2">
      <c r="B3200" s="9" t="s">
        <v>1515</v>
      </c>
      <c r="C3200" s="15" t="s">
        <v>1516</v>
      </c>
      <c r="D3200" s="12" t="str">
        <f>"0021-8855"</f>
        <v>0021-8855</v>
      </c>
      <c r="E3200" s="5">
        <v>3.6949999999999998</v>
      </c>
      <c r="F3200" s="5">
        <v>0.65400000000000003</v>
      </c>
    </row>
    <row r="3201" spans="2:6" x14ac:dyDescent="0.2">
      <c r="B3201" s="9" t="s">
        <v>10189</v>
      </c>
      <c r="C3201" s="15" t="s">
        <v>10190</v>
      </c>
      <c r="D3201" s="12" t="str">
        <f>"0021-8863"</f>
        <v>0021-8863</v>
      </c>
      <c r="E3201" s="5">
        <v>2.3250000000000002</v>
      </c>
      <c r="F3201" s="5">
        <v>0.36099999999999999</v>
      </c>
    </row>
    <row r="3202" spans="2:6" x14ac:dyDescent="0.2">
      <c r="B3202" s="9" t="s">
        <v>10191</v>
      </c>
      <c r="C3202" s="15" t="s">
        <v>10192</v>
      </c>
      <c r="D3202" s="12" t="str">
        <f>"2280-8000"</f>
        <v>2280-8000</v>
      </c>
      <c r="E3202" s="5">
        <v>2.6040000000000001</v>
      </c>
      <c r="F3202" s="5">
        <v>0.39400000000000002</v>
      </c>
    </row>
    <row r="3203" spans="2:6" x14ac:dyDescent="0.2">
      <c r="B3203" s="9" t="s">
        <v>6332</v>
      </c>
      <c r="C3203" s="15" t="s">
        <v>3096</v>
      </c>
      <c r="D3203" s="12" t="str">
        <f>"1065-8483"</f>
        <v>1065-8483</v>
      </c>
      <c r="E3203" s="5">
        <v>1.833</v>
      </c>
      <c r="F3203" s="5">
        <v>0.23</v>
      </c>
    </row>
    <row r="3204" spans="2:6" x14ac:dyDescent="0.2">
      <c r="B3204" s="9" t="s">
        <v>10193</v>
      </c>
      <c r="C3204" s="15" t="s">
        <v>10194</v>
      </c>
      <c r="D3204" s="12" t="str">
        <f>"1214-021X"</f>
        <v>1214-021X</v>
      </c>
      <c r="E3204" s="5">
        <v>1.7969999999999999</v>
      </c>
      <c r="F3204" s="5">
        <v>0.17100000000000001</v>
      </c>
    </row>
    <row r="3205" spans="2:6" x14ac:dyDescent="0.2">
      <c r="B3205" s="9" t="s">
        <v>1517</v>
      </c>
      <c r="C3205" s="15" t="s">
        <v>1518</v>
      </c>
      <c r="D3205" s="12" t="str">
        <f>"1526-9914"</f>
        <v>1526-9914</v>
      </c>
      <c r="E3205" s="5">
        <v>2.1019999999999999</v>
      </c>
      <c r="F3205" s="5">
        <v>0.27800000000000002</v>
      </c>
    </row>
    <row r="3206" spans="2:6" x14ac:dyDescent="0.2">
      <c r="B3206" s="9" t="s">
        <v>10195</v>
      </c>
      <c r="C3206" s="15" t="s">
        <v>10196</v>
      </c>
      <c r="D3206" s="12" t="str">
        <f>"0021-8898"</f>
        <v>0021-8898</v>
      </c>
      <c r="E3206" s="5">
        <v>3.3039999999999998</v>
      </c>
      <c r="F3206" s="5">
        <v>0.76</v>
      </c>
    </row>
    <row r="3207" spans="2:6" x14ac:dyDescent="0.2">
      <c r="B3207" s="9" t="s">
        <v>1519</v>
      </c>
      <c r="C3207" s="15" t="s">
        <v>1520</v>
      </c>
      <c r="D3207" s="12" t="str">
        <f>"0193-3973"</f>
        <v>0193-3973</v>
      </c>
      <c r="E3207" s="5">
        <v>2.4119999999999999</v>
      </c>
      <c r="F3207" s="5">
        <v>0.50600000000000001</v>
      </c>
    </row>
    <row r="3208" spans="2:6" x14ac:dyDescent="0.2">
      <c r="B3208" s="9" t="s">
        <v>1521</v>
      </c>
      <c r="C3208" s="15" t="s">
        <v>1522</v>
      </c>
      <c r="D3208" s="12" t="str">
        <f>"1234-1983"</f>
        <v>1234-1983</v>
      </c>
      <c r="E3208" s="5">
        <v>3.24</v>
      </c>
      <c r="F3208" s="5">
        <v>0.52500000000000002</v>
      </c>
    </row>
    <row r="3209" spans="2:6" x14ac:dyDescent="0.2">
      <c r="B3209" s="9" t="s">
        <v>6333</v>
      </c>
      <c r="C3209" s="15" t="s">
        <v>3097</v>
      </c>
      <c r="D3209" s="12" t="str">
        <f>"1364-5072"</f>
        <v>1364-5072</v>
      </c>
      <c r="E3209" s="5">
        <v>3.7719999999999998</v>
      </c>
      <c r="F3209" s="5">
        <v>0.61399999999999999</v>
      </c>
    </row>
    <row r="3210" spans="2:6" x14ac:dyDescent="0.2">
      <c r="B3210" s="9" t="s">
        <v>1523</v>
      </c>
      <c r="C3210" s="15" t="s">
        <v>1524</v>
      </c>
      <c r="D3210" s="12" t="str">
        <f>"1678-7757"</f>
        <v>1678-7757</v>
      </c>
      <c r="E3210" s="5">
        <v>2.698</v>
      </c>
      <c r="F3210" s="5">
        <v>0.59299999999999997</v>
      </c>
    </row>
    <row r="3211" spans="2:6" x14ac:dyDescent="0.2">
      <c r="B3211" s="9" t="s">
        <v>6334</v>
      </c>
      <c r="C3211" s="15" t="s">
        <v>3098</v>
      </c>
      <c r="D3211" s="12" t="str">
        <f>"0921-8971"</f>
        <v>0921-8971</v>
      </c>
      <c r="E3211" s="5">
        <v>3.2149999999999999</v>
      </c>
      <c r="F3211" s="5">
        <v>0.86199999999999999</v>
      </c>
    </row>
    <row r="3212" spans="2:6" x14ac:dyDescent="0.2">
      <c r="B3212" s="9" t="s">
        <v>6335</v>
      </c>
      <c r="C3212" s="15" t="s">
        <v>3099</v>
      </c>
      <c r="D3212" s="12" t="str">
        <f>"8750-7587"</f>
        <v>8750-7587</v>
      </c>
      <c r="E3212" s="5">
        <v>3.5310000000000001</v>
      </c>
      <c r="F3212" s="5">
        <v>0.68200000000000005</v>
      </c>
    </row>
    <row r="3213" spans="2:6" x14ac:dyDescent="0.2">
      <c r="B3213" s="9" t="s">
        <v>6336</v>
      </c>
      <c r="C3213" s="15" t="s">
        <v>3100</v>
      </c>
      <c r="D3213" s="12" t="str">
        <f>"1475-6072"</f>
        <v>1475-6072</v>
      </c>
      <c r="E3213" s="5">
        <v>1.042</v>
      </c>
      <c r="F3213" s="5">
        <v>0.25600000000000001</v>
      </c>
    </row>
    <row r="3214" spans="2:6" x14ac:dyDescent="0.2">
      <c r="B3214" s="9" t="s">
        <v>1525</v>
      </c>
      <c r="C3214" s="15" t="s">
        <v>1526</v>
      </c>
      <c r="D3214" s="12" t="str">
        <f>"0021-9010"</f>
        <v>0021-9010</v>
      </c>
      <c r="E3214" s="5">
        <v>7.4290000000000003</v>
      </c>
      <c r="F3214" s="5">
        <v>0.92800000000000005</v>
      </c>
    </row>
    <row r="3215" spans="2:6" x14ac:dyDescent="0.2">
      <c r="B3215" s="9" t="s">
        <v>1527</v>
      </c>
      <c r="C3215" s="15" t="s">
        <v>1528</v>
      </c>
      <c r="D3215" s="12" t="str">
        <f>"1360-2322"</f>
        <v>1360-2322</v>
      </c>
      <c r="E3215" s="5">
        <v>2.7</v>
      </c>
      <c r="F3215" s="5">
        <v>0.72299999999999998</v>
      </c>
    </row>
    <row r="3216" spans="2:6" x14ac:dyDescent="0.2">
      <c r="B3216" s="9" t="s">
        <v>10197</v>
      </c>
      <c r="C3216" s="15" t="s">
        <v>10198</v>
      </c>
      <c r="D3216" s="12" t="str">
        <f>"2211-3681"</f>
        <v>2211-3681</v>
      </c>
      <c r="E3216" s="5">
        <v>3.83</v>
      </c>
      <c r="F3216" s="5">
        <v>0.84399999999999997</v>
      </c>
    </row>
    <row r="3217" spans="2:6" x14ac:dyDescent="0.2">
      <c r="B3217" s="9" t="s">
        <v>1529</v>
      </c>
      <c r="C3217" s="15" t="s">
        <v>1530</v>
      </c>
      <c r="D3217" s="12" t="str">
        <f>"0021-9029"</f>
        <v>0021-9029</v>
      </c>
      <c r="E3217" s="5">
        <v>2.1219999999999999</v>
      </c>
      <c r="F3217" s="5">
        <v>0.35899999999999999</v>
      </c>
    </row>
    <row r="3218" spans="2:6" x14ac:dyDescent="0.2">
      <c r="B3218" s="9" t="s">
        <v>6337</v>
      </c>
      <c r="C3218" s="15" t="s">
        <v>3101</v>
      </c>
      <c r="D3218" s="12" t="str">
        <f>"1041-3200"</f>
        <v>1041-3200</v>
      </c>
      <c r="E3218" s="5">
        <v>3.585</v>
      </c>
      <c r="F3218" s="5">
        <v>0.77900000000000003</v>
      </c>
    </row>
    <row r="3219" spans="2:6" x14ac:dyDescent="0.2">
      <c r="B3219" s="9" t="s">
        <v>6338</v>
      </c>
      <c r="C3219" s="15" t="s">
        <v>3102</v>
      </c>
      <c r="D3219" s="12" t="str">
        <f>"0266-4763"</f>
        <v>0266-4763</v>
      </c>
      <c r="E3219" s="5">
        <v>1.4039999999999999</v>
      </c>
      <c r="F3219" s="5">
        <v>0.45600000000000002</v>
      </c>
    </row>
    <row r="3220" spans="2:6" x14ac:dyDescent="0.2">
      <c r="B3220" s="9" t="s">
        <v>6339</v>
      </c>
      <c r="C3220" s="15" t="s">
        <v>3103</v>
      </c>
      <c r="D3220" s="12" t="str">
        <f>"0260-437X"</f>
        <v>0260-437X</v>
      </c>
      <c r="E3220" s="5">
        <v>3.4460000000000002</v>
      </c>
      <c r="F3220" s="5">
        <v>0.53800000000000003</v>
      </c>
    </row>
    <row r="3221" spans="2:6" x14ac:dyDescent="0.2">
      <c r="B3221" s="9" t="s">
        <v>6340</v>
      </c>
      <c r="C3221" s="15" t="s">
        <v>3104</v>
      </c>
      <c r="D3221" s="12" t="str">
        <f>"0899-7659"</f>
        <v>0899-7659</v>
      </c>
      <c r="E3221" s="5">
        <v>1.625</v>
      </c>
      <c r="F3221" s="5">
        <v>0.56200000000000006</v>
      </c>
    </row>
    <row r="3222" spans="2:6" x14ac:dyDescent="0.2">
      <c r="B3222" s="9" t="s">
        <v>7691</v>
      </c>
      <c r="C3222" s="15" t="s">
        <v>3606</v>
      </c>
      <c r="D3222" s="12" t="str">
        <f>"1525-3961"</f>
        <v>1525-3961</v>
      </c>
      <c r="E3222" s="5">
        <v>3.0569999999999999</v>
      </c>
      <c r="F3222" s="5">
        <v>0.72699999999999998</v>
      </c>
    </row>
    <row r="3223" spans="2:6" x14ac:dyDescent="0.2">
      <c r="B3223" s="9" t="s">
        <v>6341</v>
      </c>
      <c r="C3223" s="15" t="s">
        <v>3105</v>
      </c>
      <c r="D3223" s="12" t="str">
        <f>"0883-5403"</f>
        <v>0883-5403</v>
      </c>
      <c r="E3223" s="5">
        <v>4.7569999999999997</v>
      </c>
      <c r="F3223" s="5">
        <v>0.90100000000000002</v>
      </c>
    </row>
    <row r="3224" spans="2:6" x14ac:dyDescent="0.2">
      <c r="B3224" s="9" t="s">
        <v>10199</v>
      </c>
      <c r="C3224" s="15" t="s">
        <v>10200</v>
      </c>
      <c r="D3224" s="12" t="str">
        <f>"2322-1984"</f>
        <v>2322-1984</v>
      </c>
      <c r="E3224" s="5">
        <v>1.198</v>
      </c>
      <c r="F3224" s="5">
        <v>0.13200000000000001</v>
      </c>
    </row>
    <row r="3225" spans="2:6" x14ac:dyDescent="0.2">
      <c r="B3225" s="9" t="s">
        <v>1531</v>
      </c>
      <c r="C3225" s="15" t="s">
        <v>1532</v>
      </c>
      <c r="D3225" s="12" t="str">
        <f>"1434-7229"</f>
        <v>1434-7229</v>
      </c>
      <c r="E3225" s="5">
        <v>1.7310000000000001</v>
      </c>
      <c r="F3225" s="5">
        <v>0.32</v>
      </c>
    </row>
    <row r="3226" spans="2:6" x14ac:dyDescent="0.2">
      <c r="B3226" s="9" t="s">
        <v>6342</v>
      </c>
      <c r="C3226" s="15" t="s">
        <v>3106</v>
      </c>
      <c r="D3226" s="12" t="str">
        <f>"1028-6020"</f>
        <v>1028-6020</v>
      </c>
      <c r="E3226" s="5">
        <v>1.569</v>
      </c>
      <c r="F3226" s="5">
        <v>0.38700000000000001</v>
      </c>
    </row>
    <row r="3227" spans="2:6" x14ac:dyDescent="0.2">
      <c r="B3227" s="9" t="s">
        <v>6343</v>
      </c>
      <c r="C3227" s="15" t="s">
        <v>3107</v>
      </c>
      <c r="D3227" s="12" t="str">
        <f>"1058-0468"</f>
        <v>1058-0468</v>
      </c>
      <c r="E3227" s="5">
        <v>3.4119999999999999</v>
      </c>
      <c r="F3227" s="5">
        <v>0.71099999999999997</v>
      </c>
    </row>
    <row r="3228" spans="2:6" x14ac:dyDescent="0.2">
      <c r="B3228" s="9" t="s">
        <v>10201</v>
      </c>
      <c r="C3228" s="15" t="s">
        <v>10202</v>
      </c>
      <c r="D3228" s="12" t="str">
        <f>"2330-1635"</f>
        <v>2330-1635</v>
      </c>
      <c r="E3228" s="5">
        <v>2.6869999999999998</v>
      </c>
      <c r="F3228" s="5">
        <v>0.55300000000000005</v>
      </c>
    </row>
    <row r="3229" spans="2:6" x14ac:dyDescent="0.2">
      <c r="B3229" s="9" t="s">
        <v>10203</v>
      </c>
      <c r="C3229" s="15" t="s">
        <v>10204</v>
      </c>
      <c r="D3229" s="12" t="str">
        <f>"1536-9323"</f>
        <v>1536-9323</v>
      </c>
      <c r="E3229" s="5">
        <v>5.149</v>
      </c>
      <c r="F3229" s="5">
        <v>0.82399999999999995</v>
      </c>
    </row>
    <row r="3230" spans="2:6" x14ac:dyDescent="0.2">
      <c r="B3230" s="9" t="s">
        <v>6344</v>
      </c>
      <c r="C3230" s="15" t="s">
        <v>3108</v>
      </c>
      <c r="D3230" s="12" t="str">
        <f>"1055-3290"</f>
        <v>1055-3290</v>
      </c>
      <c r="E3230" s="5">
        <v>1.3540000000000001</v>
      </c>
      <c r="F3230" s="5">
        <v>0.28599999999999998</v>
      </c>
    </row>
    <row r="3231" spans="2:6" x14ac:dyDescent="0.2">
      <c r="B3231" s="9" t="s">
        <v>607</v>
      </c>
      <c r="C3231" s="15" t="s">
        <v>608</v>
      </c>
      <c r="D3231" s="12" t="str">
        <f>"1460-7425"</f>
        <v>1460-7425</v>
      </c>
      <c r="E3231" s="5">
        <v>2.1059999999999999</v>
      </c>
      <c r="F3231" s="5">
        <v>0.56000000000000005</v>
      </c>
    </row>
    <row r="3232" spans="2:6" x14ac:dyDescent="0.2">
      <c r="B3232" s="9" t="s">
        <v>6345</v>
      </c>
      <c r="C3232" s="15" t="s">
        <v>3109</v>
      </c>
      <c r="D3232" s="12" t="str">
        <f>"0277-0903"</f>
        <v>0277-0903</v>
      </c>
      <c r="E3232" s="5">
        <v>2.5150000000000001</v>
      </c>
      <c r="F3232" s="5">
        <v>0.28599999999999998</v>
      </c>
    </row>
    <row r="3233" spans="2:6" x14ac:dyDescent="0.2">
      <c r="B3233" s="9" t="s">
        <v>10205</v>
      </c>
      <c r="C3233" s="15" t="s">
        <v>10206</v>
      </c>
      <c r="D3233" s="12" t="str">
        <f>"1178-6965"</f>
        <v>1178-6965</v>
      </c>
      <c r="E3233" s="5">
        <v>4.258</v>
      </c>
      <c r="F3233" s="5">
        <v>0.70299999999999996</v>
      </c>
    </row>
    <row r="3234" spans="2:6" x14ac:dyDescent="0.2">
      <c r="B3234" s="9" t="s">
        <v>10207</v>
      </c>
      <c r="C3234" s="15" t="s">
        <v>10208</v>
      </c>
      <c r="D3234" s="12" t="str">
        <f>"2329-4124"</f>
        <v>2329-4124</v>
      </c>
      <c r="E3234" s="5">
        <v>1.4359999999999999</v>
      </c>
      <c r="F3234" s="5">
        <v>0.5</v>
      </c>
    </row>
    <row r="3235" spans="2:6" x14ac:dyDescent="0.2">
      <c r="B3235" s="9" t="s">
        <v>1533</v>
      </c>
      <c r="C3235" s="15" t="s">
        <v>1534</v>
      </c>
      <c r="D3235" s="12" t="str">
        <f>"1340-3478"</f>
        <v>1340-3478</v>
      </c>
      <c r="E3235" s="5">
        <v>4.9279999999999999</v>
      </c>
      <c r="F3235" s="5">
        <v>0.76900000000000002</v>
      </c>
    </row>
    <row r="3236" spans="2:6" x14ac:dyDescent="0.2">
      <c r="B3236" s="9" t="s">
        <v>6346</v>
      </c>
      <c r="C3236" s="15" t="s">
        <v>3110</v>
      </c>
      <c r="D3236" s="12" t="str">
        <f>"1062-6050"</f>
        <v>1062-6050</v>
      </c>
      <c r="E3236" s="5">
        <v>2.86</v>
      </c>
      <c r="F3236" s="5">
        <v>0.55700000000000005</v>
      </c>
    </row>
    <row r="3237" spans="2:6" x14ac:dyDescent="0.2">
      <c r="B3237" s="9" t="s">
        <v>10209</v>
      </c>
      <c r="C3237" s="15" t="s">
        <v>10210</v>
      </c>
      <c r="D3237" s="12" t="str">
        <f>"1087-0547"</f>
        <v>1087-0547</v>
      </c>
      <c r="E3237" s="5">
        <v>3.2559999999999998</v>
      </c>
      <c r="F3237" s="5">
        <v>0.68799999999999994</v>
      </c>
    </row>
    <row r="3238" spans="2:6" x14ac:dyDescent="0.2">
      <c r="B3238" s="9" t="s">
        <v>6347</v>
      </c>
      <c r="C3238" s="15" t="s">
        <v>3111</v>
      </c>
      <c r="D3238" s="12" t="str">
        <f>"1549-4950"</f>
        <v>1549-4950</v>
      </c>
      <c r="E3238" s="5">
        <v>0.83299999999999996</v>
      </c>
      <c r="F3238" s="5">
        <v>0.13300000000000001</v>
      </c>
    </row>
    <row r="3239" spans="2:6" x14ac:dyDescent="0.2">
      <c r="B3239" s="9" t="s">
        <v>10211</v>
      </c>
      <c r="C3239" s="15" t="s">
        <v>10212</v>
      </c>
      <c r="D3239" s="12" t="str">
        <f>"2475-0158"</f>
        <v>2475-0158</v>
      </c>
      <c r="E3239" s="5">
        <v>0.72499999999999998</v>
      </c>
      <c r="F3239" s="5">
        <v>0.2</v>
      </c>
    </row>
    <row r="3240" spans="2:6" x14ac:dyDescent="0.2">
      <c r="B3240" s="9" t="s">
        <v>1535</v>
      </c>
      <c r="C3240" s="15" t="s">
        <v>1536</v>
      </c>
      <c r="D3240" s="12" t="str">
        <f>"0162-3257"</f>
        <v>0162-3257</v>
      </c>
      <c r="E3240" s="5">
        <v>4.2910000000000004</v>
      </c>
      <c r="F3240" s="5">
        <v>0.81799999999999995</v>
      </c>
    </row>
    <row r="3241" spans="2:6" x14ac:dyDescent="0.2">
      <c r="B3241" s="9" t="s">
        <v>6348</v>
      </c>
      <c r="C3241" s="15" t="s">
        <v>3112</v>
      </c>
      <c r="D3241" s="12" t="str">
        <f>"0896-8411"</f>
        <v>0896-8411</v>
      </c>
      <c r="E3241" s="5">
        <v>7.0940000000000003</v>
      </c>
      <c r="F3241" s="5">
        <v>0.80200000000000005</v>
      </c>
    </row>
    <row r="3242" spans="2:6" x14ac:dyDescent="0.2">
      <c r="B3242" s="9" t="s">
        <v>7229</v>
      </c>
      <c r="C3242" s="15" t="s">
        <v>3113</v>
      </c>
      <c r="D3242" s="12" t="str">
        <f>"1082-6742"</f>
        <v>1082-6742</v>
      </c>
      <c r="E3242" s="5">
        <v>0.55700000000000005</v>
      </c>
      <c r="F3242" s="5">
        <v>0.17799999999999999</v>
      </c>
    </row>
    <row r="3243" spans="2:6" x14ac:dyDescent="0.2">
      <c r="B3243" s="9" t="s">
        <v>7692</v>
      </c>
      <c r="C3243" s="15" t="s">
        <v>3607</v>
      </c>
      <c r="D3243" s="12" t="str">
        <f>"0003-1488"</f>
        <v>0003-1488</v>
      </c>
      <c r="E3243" s="5">
        <v>1.9359999999999999</v>
      </c>
      <c r="F3243" s="5">
        <v>0.65800000000000003</v>
      </c>
    </row>
    <row r="3244" spans="2:6" x14ac:dyDescent="0.2">
      <c r="B3244" s="9" t="s">
        <v>7230</v>
      </c>
      <c r="C3244" s="15" t="s">
        <v>3114</v>
      </c>
      <c r="D3244" s="12" t="str">
        <f>"1053-8127"</f>
        <v>1053-8127</v>
      </c>
      <c r="E3244" s="5">
        <v>1.3979999999999999</v>
      </c>
      <c r="F3244" s="5">
        <v>0.222</v>
      </c>
    </row>
    <row r="3245" spans="2:6" x14ac:dyDescent="0.2">
      <c r="B3245" s="9" t="s">
        <v>7231</v>
      </c>
      <c r="C3245" s="15" t="s">
        <v>3115</v>
      </c>
      <c r="D3245" s="12" t="str">
        <f>"0021-9193"</f>
        <v>0021-9193</v>
      </c>
      <c r="E3245" s="5">
        <v>3.49</v>
      </c>
      <c r="F3245" s="5">
        <v>0.504</v>
      </c>
    </row>
    <row r="3246" spans="2:6" x14ac:dyDescent="0.2">
      <c r="B3246" s="9" t="s">
        <v>7232</v>
      </c>
      <c r="C3246" s="15" t="s">
        <v>3116</v>
      </c>
      <c r="D3246" s="12" t="str">
        <f>"0233-111X"</f>
        <v>0233-111X</v>
      </c>
      <c r="E3246" s="5">
        <v>2.2810000000000001</v>
      </c>
      <c r="F3246" s="5">
        <v>0.185</v>
      </c>
    </row>
    <row r="3247" spans="2:6" x14ac:dyDescent="0.2">
      <c r="B3247" s="9" t="s">
        <v>10213</v>
      </c>
      <c r="C3247" s="15" t="s">
        <v>10214</v>
      </c>
      <c r="D3247" s="12" t="str">
        <f>"2062-5871"</f>
        <v>2062-5871</v>
      </c>
      <c r="E3247" s="5">
        <v>6.7560000000000002</v>
      </c>
      <c r="F3247" s="5">
        <v>0.91700000000000004</v>
      </c>
    </row>
    <row r="3248" spans="2:6" x14ac:dyDescent="0.2">
      <c r="B3248" s="9" t="s">
        <v>1537</v>
      </c>
      <c r="C3248" s="15" t="s">
        <v>1538</v>
      </c>
      <c r="D3248" s="12" t="str">
        <f>"1099-0771"</f>
        <v>1099-0771</v>
      </c>
      <c r="E3248" s="5">
        <v>2.4380000000000002</v>
      </c>
      <c r="F3248" s="5">
        <v>0.38600000000000001</v>
      </c>
    </row>
    <row r="3249" spans="2:6" x14ac:dyDescent="0.2">
      <c r="B3249" s="9" t="s">
        <v>1539</v>
      </c>
      <c r="C3249" s="15" t="s">
        <v>1540</v>
      </c>
      <c r="D3249" s="12" t="str">
        <f>"1094-3412"</f>
        <v>1094-3412</v>
      </c>
      <c r="E3249" s="5">
        <v>1.5049999999999999</v>
      </c>
      <c r="F3249" s="5">
        <v>0.20100000000000001</v>
      </c>
    </row>
    <row r="3250" spans="2:6" x14ac:dyDescent="0.2">
      <c r="B3250" s="9" t="s">
        <v>1541</v>
      </c>
      <c r="C3250" s="15" t="s">
        <v>1542</v>
      </c>
      <c r="D3250" s="12" t="str">
        <f>"0160-7715"</f>
        <v>0160-7715</v>
      </c>
      <c r="E3250" s="5">
        <v>2.96</v>
      </c>
      <c r="F3250" s="5">
        <v>0.54600000000000004</v>
      </c>
    </row>
    <row r="3251" spans="2:6" x14ac:dyDescent="0.2">
      <c r="B3251" s="9" t="s">
        <v>1543</v>
      </c>
      <c r="C3251" s="15" t="s">
        <v>1544</v>
      </c>
      <c r="D3251" s="12" t="str">
        <f>"0005-7916"</f>
        <v>0005-7916</v>
      </c>
      <c r="E3251" s="5">
        <v>2.1840000000000002</v>
      </c>
      <c r="F3251" s="5">
        <v>0.33800000000000002</v>
      </c>
    </row>
    <row r="3252" spans="2:6" x14ac:dyDescent="0.2">
      <c r="B3252" s="9" t="s">
        <v>10215</v>
      </c>
      <c r="C3252" s="15" t="s">
        <v>10216</v>
      </c>
      <c r="D3252" s="12" t="str">
        <f>"2514-8281"</f>
        <v>2514-8281</v>
      </c>
      <c r="E3252" s="5">
        <v>1.8939999999999999</v>
      </c>
      <c r="F3252" s="5">
        <v>0.248</v>
      </c>
    </row>
    <row r="3253" spans="2:6" x14ac:dyDescent="0.2">
      <c r="B3253" s="9" t="s">
        <v>7233</v>
      </c>
      <c r="C3253" s="15" t="s">
        <v>3117</v>
      </c>
      <c r="D3253" s="12" t="str">
        <f>"0883-9115"</f>
        <v>0883-9115</v>
      </c>
      <c r="E3253" s="5">
        <v>1.756</v>
      </c>
      <c r="F3253" s="5">
        <v>0.24099999999999999</v>
      </c>
    </row>
    <row r="3254" spans="2:6" x14ac:dyDescent="0.2">
      <c r="B3254" s="9" t="s">
        <v>7234</v>
      </c>
      <c r="C3254" s="15" t="s">
        <v>3118</v>
      </c>
      <c r="D3254" s="12" t="str">
        <f>"0021-924X"</f>
        <v>0021-924X</v>
      </c>
      <c r="E3254" s="5">
        <v>3.387</v>
      </c>
      <c r="F3254" s="5">
        <v>0.38900000000000001</v>
      </c>
    </row>
    <row r="3255" spans="2:6" x14ac:dyDescent="0.2">
      <c r="B3255" s="9" t="s">
        <v>7235</v>
      </c>
      <c r="C3255" s="15" t="s">
        <v>3119</v>
      </c>
      <c r="D3255" s="12" t="str">
        <f>"1095-6670"</f>
        <v>1095-6670</v>
      </c>
      <c r="E3255" s="5">
        <v>3.6419999999999999</v>
      </c>
      <c r="F3255" s="5">
        <v>0.58099999999999996</v>
      </c>
    </row>
    <row r="3256" spans="2:6" x14ac:dyDescent="0.2">
      <c r="B3256" s="9" t="s">
        <v>7236</v>
      </c>
      <c r="C3256" s="15" t="s">
        <v>3120</v>
      </c>
      <c r="D3256" s="12" t="str">
        <f>"0145-479X"</f>
        <v>0145-479X</v>
      </c>
      <c r="E3256" s="5">
        <v>2.9449999999999998</v>
      </c>
      <c r="F3256" s="5">
        <v>0.49299999999999999</v>
      </c>
    </row>
    <row r="3257" spans="2:6" x14ac:dyDescent="0.2">
      <c r="B3257" s="9" t="s">
        <v>1545</v>
      </c>
      <c r="C3257" s="15" t="s">
        <v>1546</v>
      </c>
      <c r="D3257" s="12" t="str">
        <f>"1176-7529"</f>
        <v>1176-7529</v>
      </c>
      <c r="E3257" s="5">
        <v>1.3520000000000001</v>
      </c>
      <c r="F3257" s="5">
        <v>0.44600000000000001</v>
      </c>
    </row>
    <row r="3258" spans="2:6" x14ac:dyDescent="0.2">
      <c r="B3258" s="9" t="s">
        <v>7237</v>
      </c>
      <c r="C3258" s="15" t="s">
        <v>3121</v>
      </c>
      <c r="D3258" s="12" t="str">
        <f>"0021-9258"</f>
        <v>0021-9258</v>
      </c>
      <c r="E3258" s="5">
        <v>5.157</v>
      </c>
      <c r="F3258" s="5">
        <v>0.71299999999999997</v>
      </c>
    </row>
    <row r="3259" spans="2:6" x14ac:dyDescent="0.2">
      <c r="B3259" s="9" t="s">
        <v>7238</v>
      </c>
      <c r="C3259" s="15" t="s">
        <v>3122</v>
      </c>
      <c r="D3259" s="12" t="str">
        <f>"0021-9266"</f>
        <v>0021-9266</v>
      </c>
      <c r="E3259" s="5">
        <v>1.262</v>
      </c>
      <c r="F3259" s="5">
        <v>0.25600000000000001</v>
      </c>
    </row>
    <row r="3260" spans="2:6" x14ac:dyDescent="0.2">
      <c r="B3260" s="9" t="s">
        <v>10217</v>
      </c>
      <c r="C3260" s="15" t="s">
        <v>10218</v>
      </c>
      <c r="D3260" s="12" t="str">
        <f>"1754-1611"</f>
        <v>1754-1611</v>
      </c>
      <c r="E3260" s="5">
        <v>4.3550000000000004</v>
      </c>
      <c r="F3260" s="5">
        <v>0.77900000000000003</v>
      </c>
    </row>
    <row r="3261" spans="2:6" x14ac:dyDescent="0.2">
      <c r="B3261" s="9" t="s">
        <v>7239</v>
      </c>
      <c r="C3261" s="15" t="s">
        <v>3123</v>
      </c>
      <c r="D3261" s="12" t="str">
        <f>"0949-8257"</f>
        <v>0949-8257</v>
      </c>
      <c r="E3261" s="5">
        <v>3.3580000000000001</v>
      </c>
      <c r="F3261" s="5">
        <v>0.73299999999999998</v>
      </c>
    </row>
    <row r="3262" spans="2:6" x14ac:dyDescent="0.2">
      <c r="B3262" s="9" t="s">
        <v>7240</v>
      </c>
      <c r="C3262" s="15" t="s">
        <v>3124</v>
      </c>
      <c r="D3262" s="12" t="str">
        <f>"0092-0606"</f>
        <v>0092-0606</v>
      </c>
      <c r="E3262" s="5">
        <v>1.365</v>
      </c>
      <c r="F3262" s="5">
        <v>0.127</v>
      </c>
    </row>
    <row r="3263" spans="2:6" x14ac:dyDescent="0.2">
      <c r="B3263" s="9" t="s">
        <v>7241</v>
      </c>
      <c r="C3263" s="15" t="s">
        <v>3125</v>
      </c>
      <c r="D3263" s="12" t="str">
        <f>"0393-974X"</f>
        <v>0393-974X</v>
      </c>
      <c r="E3263" s="5">
        <v>1.7110000000000001</v>
      </c>
      <c r="F3263" s="5">
        <v>0.15</v>
      </c>
    </row>
    <row r="3264" spans="2:6" x14ac:dyDescent="0.2">
      <c r="B3264" s="9" t="s">
        <v>1547</v>
      </c>
      <c r="C3264" s="15" t="s">
        <v>1548</v>
      </c>
      <c r="D3264" s="12" t="str">
        <f>"1790-045X"</f>
        <v>1790-045X</v>
      </c>
      <c r="E3264" s="5">
        <v>1.889</v>
      </c>
      <c r="F3264" s="5">
        <v>0.38700000000000001</v>
      </c>
    </row>
    <row r="3265" spans="2:6" x14ac:dyDescent="0.2">
      <c r="B3265" s="9" t="s">
        <v>7242</v>
      </c>
      <c r="C3265" s="15" t="s">
        <v>3126</v>
      </c>
      <c r="D3265" s="12" t="str">
        <f>"0748-7304"</f>
        <v>0748-7304</v>
      </c>
      <c r="E3265" s="5">
        <v>3.1819999999999999</v>
      </c>
      <c r="F3265" s="5">
        <v>0.68799999999999994</v>
      </c>
    </row>
    <row r="3266" spans="2:6" x14ac:dyDescent="0.2">
      <c r="B3266" s="9" t="s">
        <v>7243</v>
      </c>
      <c r="C3266" s="15" t="s">
        <v>3127</v>
      </c>
      <c r="D3266" s="12" t="str">
        <f>"0218-3390"</f>
        <v>0218-3390</v>
      </c>
      <c r="E3266" s="5">
        <v>1</v>
      </c>
      <c r="F3266" s="5">
        <v>0.19400000000000001</v>
      </c>
    </row>
    <row r="3267" spans="2:6" x14ac:dyDescent="0.2">
      <c r="B3267" s="9" t="s">
        <v>7245</v>
      </c>
      <c r="C3267" s="15" t="s">
        <v>3129</v>
      </c>
      <c r="D3267" s="12" t="str">
        <f>"0885-3282"</f>
        <v>0885-3282</v>
      </c>
      <c r="E3267" s="5">
        <v>2.6459999999999999</v>
      </c>
      <c r="F3267" s="5">
        <v>0.36799999999999999</v>
      </c>
    </row>
    <row r="3268" spans="2:6" x14ac:dyDescent="0.2">
      <c r="B3268" s="9" t="s">
        <v>7244</v>
      </c>
      <c r="C3268" s="15" t="s">
        <v>3128</v>
      </c>
      <c r="D3268" s="12" t="str">
        <f>"0920-5063"</f>
        <v>0920-5063</v>
      </c>
      <c r="E3268" s="5">
        <v>3.5169999999999999</v>
      </c>
      <c r="F3268" s="5">
        <v>0.65500000000000003</v>
      </c>
    </row>
    <row r="3269" spans="2:6" x14ac:dyDescent="0.2">
      <c r="B3269" s="9" t="s">
        <v>7246</v>
      </c>
      <c r="C3269" s="15" t="s">
        <v>3130</v>
      </c>
      <c r="D3269" s="12" t="str">
        <f>"0021-9290"</f>
        <v>0021-9290</v>
      </c>
      <c r="E3269" s="5">
        <v>2.7120000000000002</v>
      </c>
      <c r="F3269" s="5">
        <v>0.40799999999999997</v>
      </c>
    </row>
    <row r="3270" spans="2:6" x14ac:dyDescent="0.2">
      <c r="B3270" s="9" t="s">
        <v>7247</v>
      </c>
      <c r="C3270" s="15" t="s">
        <v>3131</v>
      </c>
      <c r="D3270" s="12" t="str">
        <f>"0148-0731"</f>
        <v>0148-0731</v>
      </c>
      <c r="E3270" s="5">
        <v>2.097</v>
      </c>
      <c r="F3270" s="5">
        <v>0.28699999999999998</v>
      </c>
    </row>
    <row r="3271" spans="2:6" x14ac:dyDescent="0.2">
      <c r="B3271" s="9" t="s">
        <v>7248</v>
      </c>
      <c r="C3271" s="15" t="s">
        <v>3132</v>
      </c>
      <c r="D3271" s="12" t="str">
        <f>"1532-0480"</f>
        <v>1532-0480</v>
      </c>
      <c r="E3271" s="5">
        <v>6.3170000000000002</v>
      </c>
      <c r="F3271" s="5">
        <v>0.93300000000000005</v>
      </c>
    </row>
    <row r="3272" spans="2:6" x14ac:dyDescent="0.2">
      <c r="B3272" s="9" t="s">
        <v>7249</v>
      </c>
      <c r="C3272" s="15" t="s">
        <v>3133</v>
      </c>
      <c r="D3272" s="12" t="str">
        <f>"1549-3296"</f>
        <v>1549-3296</v>
      </c>
      <c r="E3272" s="5">
        <v>4.3959999999999999</v>
      </c>
      <c r="F3272" s="5">
        <v>0.73599999999999999</v>
      </c>
    </row>
    <row r="3273" spans="2:6" ht="25.5" x14ac:dyDescent="0.2">
      <c r="B3273" s="9" t="s">
        <v>7250</v>
      </c>
      <c r="C3273" s="15" t="s">
        <v>3134</v>
      </c>
      <c r="D3273" s="12" t="str">
        <f>"1552-4973"</f>
        <v>1552-4973</v>
      </c>
      <c r="E3273" s="5">
        <v>3.3679999999999999</v>
      </c>
      <c r="F3273" s="5">
        <v>0.54</v>
      </c>
    </row>
    <row r="3274" spans="2:6" x14ac:dyDescent="0.2">
      <c r="B3274" s="9" t="s">
        <v>1549</v>
      </c>
      <c r="C3274" s="15" t="s">
        <v>1550</v>
      </c>
      <c r="D3274" s="12" t="str">
        <f>"1550-7033"</f>
        <v>1550-7033</v>
      </c>
      <c r="E3274" s="5">
        <v>4.0990000000000002</v>
      </c>
      <c r="F3274" s="5">
        <v>0.55300000000000005</v>
      </c>
    </row>
    <row r="3275" spans="2:6" x14ac:dyDescent="0.2">
      <c r="B3275" s="9" t="s">
        <v>7251</v>
      </c>
      <c r="C3275" s="15" t="s">
        <v>3135</v>
      </c>
      <c r="D3275" s="12" t="str">
        <f>"1083-3668"</f>
        <v>1083-3668</v>
      </c>
      <c r="E3275" s="5">
        <v>3.17</v>
      </c>
      <c r="F3275" s="5">
        <v>0.70699999999999996</v>
      </c>
    </row>
    <row r="3276" spans="2:6" x14ac:dyDescent="0.2">
      <c r="B3276" s="9" t="s">
        <v>7252</v>
      </c>
      <c r="C3276" s="15" t="s">
        <v>3136</v>
      </c>
      <c r="D3276" s="12" t="str">
        <f>"1423-0127"</f>
        <v>1423-0127</v>
      </c>
      <c r="E3276" s="5">
        <v>8.41</v>
      </c>
      <c r="F3276" s="5">
        <v>0.9</v>
      </c>
    </row>
    <row r="3277" spans="2:6" x14ac:dyDescent="0.2">
      <c r="B3277" s="9" t="s">
        <v>7253</v>
      </c>
      <c r="C3277" s="15" t="s">
        <v>3137</v>
      </c>
      <c r="D3277" s="12" t="str">
        <f>"0925-2738"</f>
        <v>0925-2738</v>
      </c>
      <c r="E3277" s="5">
        <v>2.835</v>
      </c>
      <c r="F3277" s="5">
        <v>0.69799999999999995</v>
      </c>
    </row>
    <row r="3278" spans="2:6" x14ac:dyDescent="0.2">
      <c r="B3278" s="9" t="s">
        <v>1551</v>
      </c>
      <c r="C3278" s="15" t="s">
        <v>1552</v>
      </c>
      <c r="D3278" s="12" t="str">
        <f>"1054-3406"</f>
        <v>1054-3406</v>
      </c>
      <c r="E3278" s="5">
        <v>1.0509999999999999</v>
      </c>
      <c r="F3278" s="5">
        <v>0.28000000000000003</v>
      </c>
    </row>
    <row r="3279" spans="2:6" x14ac:dyDescent="0.2">
      <c r="B3279" s="9" t="s">
        <v>1553</v>
      </c>
      <c r="C3279" s="15" t="s">
        <v>1554</v>
      </c>
      <c r="D3279" s="12" t="str">
        <f>"1864-063X"</f>
        <v>1864-063X</v>
      </c>
      <c r="E3279" s="5">
        <v>3.2069999999999999</v>
      </c>
      <c r="F3279" s="5">
        <v>0.71699999999999997</v>
      </c>
    </row>
    <row r="3280" spans="2:6" x14ac:dyDescent="0.2">
      <c r="B3280" s="9" t="s">
        <v>7254</v>
      </c>
      <c r="C3280" s="15" t="s">
        <v>3138</v>
      </c>
      <c r="D3280" s="12" t="str">
        <f>"1389-1723"</f>
        <v>1389-1723</v>
      </c>
      <c r="E3280" s="5">
        <v>2.8940000000000001</v>
      </c>
      <c r="F3280" s="5">
        <v>0.53800000000000003</v>
      </c>
    </row>
    <row r="3281" spans="2:6" x14ac:dyDescent="0.2">
      <c r="B3281" s="9" t="s">
        <v>7255</v>
      </c>
      <c r="C3281" s="15" t="s">
        <v>3139</v>
      </c>
      <c r="D3281" s="12" t="str">
        <f>"0250-5991"</f>
        <v>0250-5991</v>
      </c>
      <c r="E3281" s="5">
        <v>1.8260000000000001</v>
      </c>
      <c r="F3281" s="5">
        <v>0.36599999999999999</v>
      </c>
    </row>
    <row r="3282" spans="2:6" x14ac:dyDescent="0.2">
      <c r="B3282" s="9" t="s">
        <v>1555</v>
      </c>
      <c r="C3282" s="15" t="s">
        <v>1556</v>
      </c>
      <c r="D3282" s="12" t="str">
        <f>"0021-9320"</f>
        <v>0021-9320</v>
      </c>
      <c r="E3282" s="5">
        <v>2.0179999999999998</v>
      </c>
      <c r="F3282" s="5">
        <v>0.41399999999999998</v>
      </c>
    </row>
    <row r="3283" spans="2:6" x14ac:dyDescent="0.2">
      <c r="B3283" s="9" t="s">
        <v>7256</v>
      </c>
      <c r="C3283" s="15" t="s">
        <v>3140</v>
      </c>
      <c r="D3283" s="12" t="str">
        <f>"0168-1656"</f>
        <v>0168-1656</v>
      </c>
      <c r="E3283" s="5">
        <v>3.3069999999999999</v>
      </c>
      <c r="F3283" s="5">
        <v>0.54400000000000004</v>
      </c>
    </row>
    <row r="3284" spans="2:6" x14ac:dyDescent="0.2">
      <c r="B3284" s="9" t="s">
        <v>1557</v>
      </c>
      <c r="C3284" s="15" t="s">
        <v>1558</v>
      </c>
      <c r="D3284" s="12" t="str">
        <f>"0095-7984"</f>
        <v>0095-7984</v>
      </c>
      <c r="E3284" s="5">
        <v>2.073</v>
      </c>
      <c r="F3284" s="5">
        <v>0.48899999999999999</v>
      </c>
    </row>
    <row r="3285" spans="2:6" x14ac:dyDescent="0.2">
      <c r="B3285" s="9" t="s">
        <v>1559</v>
      </c>
      <c r="C3285" s="15" t="s">
        <v>1560</v>
      </c>
      <c r="D3285" s="12" t="str">
        <f>"0021-9347"</f>
        <v>0021-9347</v>
      </c>
      <c r="E3285" s="5">
        <v>1.1080000000000001</v>
      </c>
      <c r="F3285" s="5">
        <v>0.25700000000000001</v>
      </c>
    </row>
    <row r="3286" spans="2:6" x14ac:dyDescent="0.2">
      <c r="B3286" s="9" t="s">
        <v>7257</v>
      </c>
      <c r="C3286" s="15" t="s">
        <v>3141</v>
      </c>
      <c r="D3286" s="12" t="str">
        <f>"0021-9355"</f>
        <v>0021-9355</v>
      </c>
      <c r="E3286" s="5">
        <v>5.2839999999999998</v>
      </c>
      <c r="F3286" s="5">
        <v>0.95099999999999996</v>
      </c>
    </row>
    <row r="3287" spans="2:6" x14ac:dyDescent="0.2">
      <c r="B3287" s="9" t="s">
        <v>7258</v>
      </c>
      <c r="C3287" s="15" t="s">
        <v>3142</v>
      </c>
      <c r="D3287" s="12" t="str">
        <f>"1435-5604"</f>
        <v>1435-5604</v>
      </c>
      <c r="E3287" s="5">
        <v>2.6259999999999999</v>
      </c>
      <c r="F3287" s="5">
        <v>0.307</v>
      </c>
    </row>
    <row r="3288" spans="2:6" x14ac:dyDescent="0.2">
      <c r="B3288" s="9" t="s">
        <v>7259</v>
      </c>
      <c r="C3288" s="15" t="s">
        <v>3143</v>
      </c>
      <c r="D3288" s="12" t="str">
        <f>"0884-0431"</f>
        <v>0884-0431</v>
      </c>
      <c r="E3288" s="5">
        <v>6.7409999999999997</v>
      </c>
      <c r="F3288" s="5">
        <v>0.876</v>
      </c>
    </row>
    <row r="3289" spans="2:6" x14ac:dyDescent="0.2">
      <c r="B3289" s="9" t="s">
        <v>10219</v>
      </c>
      <c r="C3289" s="15" t="s">
        <v>10220</v>
      </c>
      <c r="D3289" s="12" t="str">
        <f>"2212-1374"</f>
        <v>2212-1374</v>
      </c>
      <c r="E3289" s="5">
        <v>4.0720000000000001</v>
      </c>
      <c r="F3289" s="5">
        <v>0.48499999999999999</v>
      </c>
    </row>
    <row r="3290" spans="2:6" x14ac:dyDescent="0.2">
      <c r="B3290" s="9" t="s">
        <v>10221</v>
      </c>
      <c r="C3290" s="15" t="s">
        <v>10222</v>
      </c>
      <c r="D3290" s="12" t="str">
        <f>"1806-3713"</f>
        <v>1806-3713</v>
      </c>
      <c r="E3290" s="5">
        <v>2.6240000000000001</v>
      </c>
      <c r="F3290" s="5">
        <v>0.313</v>
      </c>
    </row>
    <row r="3291" spans="2:6" x14ac:dyDescent="0.2">
      <c r="B3291" s="9" t="s">
        <v>7260</v>
      </c>
      <c r="C3291" s="15" t="s">
        <v>3144</v>
      </c>
      <c r="D3291" s="12" t="str">
        <f>"0103-5053"</f>
        <v>0103-5053</v>
      </c>
      <c r="E3291" s="5">
        <v>1.8380000000000001</v>
      </c>
      <c r="F3291" s="5">
        <v>0.32</v>
      </c>
    </row>
    <row r="3292" spans="2:6" x14ac:dyDescent="0.2">
      <c r="B3292" s="9" t="s">
        <v>10223</v>
      </c>
      <c r="C3292" s="15" t="s">
        <v>10224</v>
      </c>
      <c r="D3292" s="12" t="str">
        <f>"1678-5878"</f>
        <v>1678-5878</v>
      </c>
      <c r="E3292" s="5">
        <v>2.2200000000000002</v>
      </c>
      <c r="F3292" s="5">
        <v>0.52600000000000002</v>
      </c>
    </row>
    <row r="3293" spans="2:6" x14ac:dyDescent="0.2">
      <c r="B3293" s="9" t="s">
        <v>10225</v>
      </c>
      <c r="C3293" s="15" t="s">
        <v>1561</v>
      </c>
      <c r="D3293" s="12" t="str">
        <f>"1738-6756"</f>
        <v>1738-6756</v>
      </c>
      <c r="E3293" s="5">
        <v>3.5880000000000001</v>
      </c>
      <c r="F3293" s="5">
        <v>0.38600000000000001</v>
      </c>
    </row>
    <row r="3294" spans="2:6" x14ac:dyDescent="0.2">
      <c r="B3294" s="9" t="s">
        <v>10226</v>
      </c>
      <c r="C3294" s="15" t="s">
        <v>10227</v>
      </c>
      <c r="D3294" s="12" t="str">
        <f>"1752-7155"</f>
        <v>1752-7155</v>
      </c>
      <c r="E3294" s="5">
        <v>3.262</v>
      </c>
      <c r="F3294" s="5">
        <v>0.55800000000000005</v>
      </c>
    </row>
    <row r="3295" spans="2:6" x14ac:dyDescent="0.2">
      <c r="B3295" s="9" t="s">
        <v>1562</v>
      </c>
      <c r="C3295" s="15" t="s">
        <v>1563</v>
      </c>
      <c r="D3295" s="12" t="str">
        <f>"1107-0625"</f>
        <v>1107-0625</v>
      </c>
      <c r="E3295" s="5">
        <v>2.5329999999999999</v>
      </c>
      <c r="F3295" s="5">
        <v>0.16200000000000001</v>
      </c>
    </row>
    <row r="3296" spans="2:6" x14ac:dyDescent="0.2">
      <c r="B3296" s="9" t="s">
        <v>7261</v>
      </c>
      <c r="C3296" s="15" t="s">
        <v>3145</v>
      </c>
      <c r="D3296" s="12" t="str">
        <f>"1559-047X"</f>
        <v>1559-047X</v>
      </c>
      <c r="E3296" s="5">
        <v>1.845</v>
      </c>
      <c r="F3296" s="5">
        <v>0.31</v>
      </c>
    </row>
    <row r="3297" spans="2:6" x14ac:dyDescent="0.2">
      <c r="B3297" s="9" t="s">
        <v>7262</v>
      </c>
      <c r="C3297" s="15" t="s">
        <v>3146</v>
      </c>
      <c r="D3297" s="12" t="str">
        <f>"0735-0015"</f>
        <v>0735-0015</v>
      </c>
      <c r="E3297" s="5">
        <v>6.5650000000000004</v>
      </c>
      <c r="F3297" s="5">
        <v>0.99199999999999999</v>
      </c>
    </row>
    <row r="3298" spans="2:6" x14ac:dyDescent="0.2">
      <c r="B3298" s="9" t="s">
        <v>1564</v>
      </c>
      <c r="C3298" s="15" t="s">
        <v>1565</v>
      </c>
      <c r="D3298" s="12" t="str">
        <f>"0889-3268"</f>
        <v>0889-3268</v>
      </c>
      <c r="E3298" s="5">
        <v>6.76</v>
      </c>
      <c r="F3298" s="5">
        <v>0.88</v>
      </c>
    </row>
    <row r="3299" spans="2:6" x14ac:dyDescent="0.2">
      <c r="B3299" s="9" t="s">
        <v>10228</v>
      </c>
      <c r="C3299" s="15" t="s">
        <v>10229</v>
      </c>
      <c r="D3299" s="12" t="str">
        <f>"2190-5991"</f>
        <v>2190-5991</v>
      </c>
      <c r="E3299" s="5">
        <v>12.91</v>
      </c>
      <c r="F3299" s="5">
        <v>1</v>
      </c>
    </row>
    <row r="3300" spans="2:6" x14ac:dyDescent="0.2">
      <c r="B3300" s="9" t="s">
        <v>7263</v>
      </c>
      <c r="C3300" s="15" t="s">
        <v>3147</v>
      </c>
      <c r="D3300" s="12" t="str">
        <f>"0971-6777"</f>
        <v>0971-6777</v>
      </c>
      <c r="E3300" s="5">
        <v>0.33</v>
      </c>
      <c r="F3300" s="5">
        <v>6.8000000000000005E-2</v>
      </c>
    </row>
    <row r="3301" spans="2:6" x14ac:dyDescent="0.2">
      <c r="B3301" s="9" t="s">
        <v>10230</v>
      </c>
      <c r="C3301" s="15" t="s">
        <v>10231</v>
      </c>
      <c r="D3301" s="12" t="str">
        <f>"1837-9664"</f>
        <v>1837-9664</v>
      </c>
      <c r="E3301" s="5">
        <v>4.2069999999999999</v>
      </c>
      <c r="F3301" s="5">
        <v>0.51</v>
      </c>
    </row>
    <row r="3302" spans="2:6" x14ac:dyDescent="0.2">
      <c r="B3302" s="9" t="s">
        <v>7264</v>
      </c>
      <c r="C3302" s="15" t="s">
        <v>3148</v>
      </c>
      <c r="D3302" s="12" t="str">
        <f>"0885-8195"</f>
        <v>0885-8195</v>
      </c>
      <c r="E3302" s="5">
        <v>2.0369999999999999</v>
      </c>
      <c r="F3302" s="5">
        <v>0.36899999999999999</v>
      </c>
    </row>
    <row r="3303" spans="2:6" x14ac:dyDescent="0.2">
      <c r="B3303" s="9" t="s">
        <v>7265</v>
      </c>
      <c r="C3303" s="15" t="s">
        <v>3149</v>
      </c>
      <c r="D3303" s="12" t="str">
        <f>"1432-1335"</f>
        <v>1432-1335</v>
      </c>
      <c r="E3303" s="5">
        <v>4.5529999999999999</v>
      </c>
      <c r="F3303" s="5">
        <v>0.58099999999999996</v>
      </c>
    </row>
    <row r="3304" spans="2:6" x14ac:dyDescent="0.2">
      <c r="B3304" s="9" t="s">
        <v>10232</v>
      </c>
      <c r="C3304" s="15" t="s">
        <v>10233</v>
      </c>
      <c r="D3304" s="12" t="str">
        <f>"2052-4994"</f>
        <v>2052-4994</v>
      </c>
      <c r="E3304" s="5">
        <v>1.8049999999999999</v>
      </c>
      <c r="F3304" s="5">
        <v>7.0999999999999994E-2</v>
      </c>
    </row>
    <row r="3305" spans="2:6" x14ac:dyDescent="0.2">
      <c r="B3305" s="9" t="s">
        <v>10234</v>
      </c>
      <c r="C3305" s="15" t="s">
        <v>10235</v>
      </c>
      <c r="D3305" s="12" t="str">
        <f>"1932-2259"</f>
        <v>1932-2259</v>
      </c>
      <c r="E3305" s="5">
        <v>4.4420000000000002</v>
      </c>
      <c r="F3305" s="5">
        <v>0.95499999999999996</v>
      </c>
    </row>
    <row r="3306" spans="2:6" x14ac:dyDescent="0.2">
      <c r="B3306" s="9" t="s">
        <v>1566</v>
      </c>
      <c r="C3306" s="15" t="s">
        <v>1567</v>
      </c>
      <c r="D3306" s="12" t="str">
        <f>"1488-2159"</f>
        <v>1488-2159</v>
      </c>
      <c r="E3306" s="5">
        <v>1.3160000000000001</v>
      </c>
      <c r="F3306" s="5">
        <v>6.6000000000000003E-2</v>
      </c>
    </row>
    <row r="3307" spans="2:6" x14ac:dyDescent="0.2">
      <c r="B3307" s="9" t="s">
        <v>7266</v>
      </c>
      <c r="C3307" s="15" t="s">
        <v>3150</v>
      </c>
      <c r="D3307" s="12" t="str">
        <f>"0732-8303"</f>
        <v>0732-8303</v>
      </c>
      <c r="E3307" s="5">
        <v>1.667</v>
      </c>
      <c r="F3307" s="5">
        <v>0.33300000000000002</v>
      </c>
    </row>
    <row r="3308" spans="2:6" x14ac:dyDescent="0.2">
      <c r="B3308" s="9" t="s">
        <v>7267</v>
      </c>
      <c r="C3308" s="15" t="s">
        <v>3151</v>
      </c>
      <c r="D3308" s="12" t="str">
        <f>"1071-9164"</f>
        <v>1071-9164</v>
      </c>
      <c r="E3308" s="5">
        <v>5.7119999999999997</v>
      </c>
      <c r="F3308" s="5">
        <v>0.76600000000000001</v>
      </c>
    </row>
    <row r="3309" spans="2:6" x14ac:dyDescent="0.2">
      <c r="B3309" s="9" t="s">
        <v>7268</v>
      </c>
      <c r="C3309" s="15" t="s">
        <v>3152</v>
      </c>
      <c r="D3309" s="12" t="str">
        <f>"0886-0440"</f>
        <v>0886-0440</v>
      </c>
      <c r="E3309" s="5">
        <v>1.62</v>
      </c>
      <c r="F3309" s="5">
        <v>0.24299999999999999</v>
      </c>
    </row>
    <row r="3310" spans="2:6" x14ac:dyDescent="0.2">
      <c r="B3310" s="9" t="s">
        <v>10236</v>
      </c>
      <c r="C3310" s="15" t="s">
        <v>10237</v>
      </c>
      <c r="D3310" s="12" t="str">
        <f>"0914-5087"</f>
        <v>0914-5087</v>
      </c>
      <c r="E3310" s="5">
        <v>3.1589999999999998</v>
      </c>
      <c r="F3310" s="5">
        <v>0.51800000000000002</v>
      </c>
    </row>
    <row r="3311" spans="2:6" x14ac:dyDescent="0.2">
      <c r="B3311" s="9" t="s">
        <v>1568</v>
      </c>
      <c r="C3311" s="15" t="s">
        <v>1569</v>
      </c>
      <c r="D3311" s="12" t="str">
        <f>"1932-7501"</f>
        <v>1932-7501</v>
      </c>
      <c r="E3311" s="5">
        <v>2.081</v>
      </c>
      <c r="F3311" s="5">
        <v>0.28399999999999997</v>
      </c>
    </row>
    <row r="3312" spans="2:6" x14ac:dyDescent="0.2">
      <c r="B3312" s="9" t="s">
        <v>1570</v>
      </c>
      <c r="C3312" s="15" t="s">
        <v>1571</v>
      </c>
      <c r="D3312" s="12" t="str">
        <f>"1749-8090"</f>
        <v>1749-8090</v>
      </c>
      <c r="E3312" s="5">
        <v>1.637</v>
      </c>
      <c r="F3312" s="5">
        <v>0.248</v>
      </c>
    </row>
    <row r="3313" spans="2:6" x14ac:dyDescent="0.2">
      <c r="B3313" s="9" t="s">
        <v>7269</v>
      </c>
      <c r="C3313" s="15" t="s">
        <v>3153</v>
      </c>
      <c r="D3313" s="12" t="str">
        <f>"1053-0770"</f>
        <v>1053-0770</v>
      </c>
      <c r="E3313" s="5">
        <v>2.6280000000000001</v>
      </c>
      <c r="F3313" s="5">
        <v>0.42399999999999999</v>
      </c>
    </row>
    <row r="3314" spans="2:6" x14ac:dyDescent="0.2">
      <c r="B3314" s="9" t="s">
        <v>10238</v>
      </c>
      <c r="C3314" s="15" t="s">
        <v>10239</v>
      </c>
      <c r="D3314" s="12" t="str">
        <f>"1876-861X"</f>
        <v>1876-861X</v>
      </c>
      <c r="E3314" s="5">
        <v>4.3090000000000002</v>
      </c>
      <c r="F3314" s="5">
        <v>0.77400000000000002</v>
      </c>
    </row>
    <row r="3315" spans="2:6" x14ac:dyDescent="0.2">
      <c r="B3315" s="9" t="s">
        <v>10240</v>
      </c>
      <c r="C3315" s="15" t="s">
        <v>10241</v>
      </c>
      <c r="D3315" s="12" t="str">
        <f>"2308-3425"</f>
        <v>2308-3425</v>
      </c>
      <c r="E3315" s="5">
        <v>3.948</v>
      </c>
      <c r="F3315" s="5">
        <v>0.58899999999999997</v>
      </c>
    </row>
    <row r="3316" spans="2:6" x14ac:dyDescent="0.2">
      <c r="B3316" s="9" t="s">
        <v>7270</v>
      </c>
      <c r="C3316" s="15" t="s">
        <v>3154</v>
      </c>
      <c r="D3316" s="12" t="str">
        <f>"1532-429X"</f>
        <v>1532-429X</v>
      </c>
      <c r="E3316" s="5">
        <v>5.3639999999999999</v>
      </c>
      <c r="F3316" s="5">
        <v>0.86499999999999999</v>
      </c>
    </row>
    <row r="3317" spans="2:6" x14ac:dyDescent="0.2">
      <c r="B3317" s="9" t="s">
        <v>1572</v>
      </c>
      <c r="C3317" s="15" t="s">
        <v>1573</v>
      </c>
      <c r="D3317" s="12" t="str">
        <f>"1558-2027"</f>
        <v>1558-2027</v>
      </c>
      <c r="E3317" s="5">
        <v>2.16</v>
      </c>
      <c r="F3317" s="5">
        <v>0.29799999999999999</v>
      </c>
    </row>
    <row r="3318" spans="2:6" x14ac:dyDescent="0.2">
      <c r="B3318" s="9" t="s">
        <v>1574</v>
      </c>
      <c r="C3318" s="15" t="s">
        <v>1575</v>
      </c>
      <c r="D3318" s="12" t="str">
        <f>"0889-4655"</f>
        <v>0889-4655</v>
      </c>
      <c r="E3318" s="5">
        <v>2.0830000000000002</v>
      </c>
      <c r="F3318" s="5">
        <v>0.57899999999999996</v>
      </c>
    </row>
    <row r="3319" spans="2:6" x14ac:dyDescent="0.2">
      <c r="B3319" s="9" t="s">
        <v>7271</v>
      </c>
      <c r="C3319" s="15" t="s">
        <v>3155</v>
      </c>
      <c r="D3319" s="12" t="str">
        <f>"0160-2446"</f>
        <v>0160-2446</v>
      </c>
      <c r="E3319" s="5">
        <v>3.105</v>
      </c>
      <c r="F3319" s="5">
        <v>0.504</v>
      </c>
    </row>
    <row r="3320" spans="2:6" x14ac:dyDescent="0.2">
      <c r="B3320" s="9" t="s">
        <v>7272</v>
      </c>
      <c r="C3320" s="15" t="s">
        <v>3156</v>
      </c>
      <c r="D3320" s="12" t="str">
        <f>"1074-2484"</f>
        <v>1074-2484</v>
      </c>
      <c r="E3320" s="5">
        <v>2.4569999999999999</v>
      </c>
      <c r="F3320" s="5">
        <v>0.38300000000000001</v>
      </c>
    </row>
    <row r="3321" spans="2:6" x14ac:dyDescent="0.2">
      <c r="B3321" s="9" t="s">
        <v>7273</v>
      </c>
      <c r="C3321" s="15" t="s">
        <v>3157</v>
      </c>
      <c r="D3321" s="12" t="str">
        <f>"0021-9509"</f>
        <v>0021-9509</v>
      </c>
      <c r="E3321" s="5">
        <v>1.8879999999999999</v>
      </c>
      <c r="F3321" s="5">
        <v>0.34300000000000003</v>
      </c>
    </row>
    <row r="3322" spans="2:6" x14ac:dyDescent="0.2">
      <c r="B3322" s="9" t="s">
        <v>10242</v>
      </c>
      <c r="C3322" s="15" t="s">
        <v>10243</v>
      </c>
      <c r="D3322" s="12" t="str">
        <f>"1937-5387"</f>
        <v>1937-5387</v>
      </c>
      <c r="E3322" s="5">
        <v>4.1319999999999997</v>
      </c>
      <c r="F3322" s="5">
        <v>0.60299999999999998</v>
      </c>
    </row>
    <row r="3323" spans="2:6" x14ac:dyDescent="0.2">
      <c r="B3323" s="9" t="s">
        <v>1576</v>
      </c>
      <c r="C3323" s="15" t="s">
        <v>1577</v>
      </c>
      <c r="D3323" s="12" t="str">
        <f>"1069-0727"</f>
        <v>1069-0727</v>
      </c>
      <c r="E3323" s="5">
        <v>3.2759999999999998</v>
      </c>
      <c r="F3323" s="5">
        <v>0.55400000000000005</v>
      </c>
    </row>
    <row r="3324" spans="2:6" x14ac:dyDescent="0.2">
      <c r="B3324" s="9" t="s">
        <v>1578</v>
      </c>
      <c r="C3324" s="15" t="s">
        <v>1579</v>
      </c>
      <c r="D3324" s="12" t="str">
        <f>"0894-8453"</f>
        <v>0894-8453</v>
      </c>
      <c r="E3324" s="5">
        <v>2.5350000000000001</v>
      </c>
      <c r="F3324" s="5">
        <v>0.434</v>
      </c>
    </row>
    <row r="3325" spans="2:6" x14ac:dyDescent="0.2">
      <c r="B3325" s="9" t="s">
        <v>7274</v>
      </c>
      <c r="C3325" s="15" t="s">
        <v>3158</v>
      </c>
      <c r="D3325" s="12" t="str">
        <f>"0886-3350"</f>
        <v>0886-3350</v>
      </c>
      <c r="E3325" s="5">
        <v>3.351</v>
      </c>
      <c r="F3325" s="5">
        <v>0.72599999999999998</v>
      </c>
    </row>
    <row r="3326" spans="2:6" x14ac:dyDescent="0.2">
      <c r="B3326" s="9" t="s">
        <v>7275</v>
      </c>
      <c r="C3326" s="15" t="s">
        <v>3159</v>
      </c>
      <c r="D3326" s="12" t="str">
        <f>"0730-2312"</f>
        <v>0730-2312</v>
      </c>
      <c r="E3326" s="5">
        <v>4.4290000000000003</v>
      </c>
      <c r="F3326" s="5">
        <v>0.625</v>
      </c>
    </row>
    <row r="3327" spans="2:6" x14ac:dyDescent="0.2">
      <c r="B3327" s="9" t="s">
        <v>7276</v>
      </c>
      <c r="C3327" s="15" t="s">
        <v>3160</v>
      </c>
      <c r="D3327" s="12" t="str">
        <f>"0021-9525"</f>
        <v>0021-9525</v>
      </c>
      <c r="E3327" s="5">
        <v>10.539</v>
      </c>
      <c r="F3327" s="5">
        <v>0.86</v>
      </c>
    </row>
    <row r="3328" spans="2:6" x14ac:dyDescent="0.2">
      <c r="B3328" s="9" t="s">
        <v>10244</v>
      </c>
      <c r="C3328" s="15" t="s">
        <v>10245</v>
      </c>
      <c r="D3328" s="12" t="str">
        <f>"1873-9601"</f>
        <v>1873-9601</v>
      </c>
      <c r="E3328" s="5">
        <v>5.782</v>
      </c>
      <c r="F3328" s="5">
        <v>0.68400000000000005</v>
      </c>
    </row>
    <row r="3329" spans="2:6" x14ac:dyDescent="0.2">
      <c r="B3329" s="9" t="s">
        <v>7277</v>
      </c>
      <c r="C3329" s="15" t="s">
        <v>3161</v>
      </c>
      <c r="D3329" s="12" t="str">
        <f>"1582-4934"</f>
        <v>1582-4934</v>
      </c>
      <c r="E3329" s="5">
        <v>5.31</v>
      </c>
      <c r="F3329" s="5">
        <v>0.69299999999999995</v>
      </c>
    </row>
    <row r="3330" spans="2:6" x14ac:dyDescent="0.2">
      <c r="B3330" s="9" t="s">
        <v>7278</v>
      </c>
      <c r="C3330" s="15" t="s">
        <v>3162</v>
      </c>
      <c r="D3330" s="12" t="str">
        <f>"0021-9541"</f>
        <v>0021-9541</v>
      </c>
      <c r="E3330" s="5">
        <v>6.3840000000000003</v>
      </c>
      <c r="F3330" s="5">
        <v>0.92600000000000005</v>
      </c>
    </row>
    <row r="3331" spans="2:6" x14ac:dyDescent="0.2">
      <c r="B3331" s="9" t="s">
        <v>7279</v>
      </c>
      <c r="C3331" s="15" t="s">
        <v>3163</v>
      </c>
      <c r="D3331" s="12" t="str">
        <f>"0021-9533"</f>
        <v>0021-9533</v>
      </c>
      <c r="E3331" s="5">
        <v>5.2850000000000001</v>
      </c>
      <c r="F3331" s="5">
        <v>0.627</v>
      </c>
    </row>
    <row r="3332" spans="2:6" x14ac:dyDescent="0.2">
      <c r="B3332" s="9" t="s">
        <v>7280</v>
      </c>
      <c r="C3332" s="15" t="s">
        <v>3164</v>
      </c>
      <c r="D3332" s="12" t="str">
        <f>"0271-678X"</f>
        <v>0271-678X</v>
      </c>
      <c r="E3332" s="5">
        <v>6.2</v>
      </c>
      <c r="F3332" s="5">
        <v>0.84099999999999997</v>
      </c>
    </row>
    <row r="3333" spans="2:6" x14ac:dyDescent="0.2">
      <c r="B3333" s="9" t="s">
        <v>7281</v>
      </c>
      <c r="C3333" s="15" t="s">
        <v>3165</v>
      </c>
      <c r="D3333" s="12" t="str">
        <f>"0098-0331"</f>
        <v>0098-0331</v>
      </c>
      <c r="E3333" s="5">
        <v>2.6259999999999999</v>
      </c>
      <c r="F3333" s="5">
        <v>0.49399999999999999</v>
      </c>
    </row>
    <row r="3334" spans="2:6" x14ac:dyDescent="0.2">
      <c r="B3334" s="9" t="s">
        <v>7282</v>
      </c>
      <c r="C3334" s="15" t="s">
        <v>3166</v>
      </c>
      <c r="D3334" s="12" t="str">
        <f>"0021-9584"</f>
        <v>0021-9584</v>
      </c>
      <c r="E3334" s="5">
        <v>2.9790000000000001</v>
      </c>
      <c r="F3334" s="5">
        <v>0.69799999999999995</v>
      </c>
    </row>
    <row r="3335" spans="2:6" x14ac:dyDescent="0.2">
      <c r="B3335" s="9" t="s">
        <v>7283</v>
      </c>
      <c r="C3335" s="15" t="s">
        <v>3167</v>
      </c>
      <c r="D3335" s="12" t="str">
        <f>"0021-9568"</f>
        <v>0021-9568</v>
      </c>
      <c r="E3335" s="5">
        <v>2.694</v>
      </c>
      <c r="F3335" s="5">
        <v>0.58299999999999996</v>
      </c>
    </row>
    <row r="3336" spans="2:6" x14ac:dyDescent="0.2">
      <c r="B3336" s="9" t="s">
        <v>7284</v>
      </c>
      <c r="C3336" s="15" t="s">
        <v>3168</v>
      </c>
      <c r="D3336" s="12" t="str">
        <f>"1549-9596"</f>
        <v>1549-9596</v>
      </c>
      <c r="E3336" s="5">
        <v>4.9560000000000004</v>
      </c>
      <c r="F3336" s="5">
        <v>0.80100000000000005</v>
      </c>
    </row>
    <row r="3337" spans="2:6" x14ac:dyDescent="0.2">
      <c r="B3337" s="9" t="s">
        <v>10246</v>
      </c>
      <c r="C3337" s="15" t="s">
        <v>10247</v>
      </c>
      <c r="D3337" s="12" t="str">
        <f>"1758-2946"</f>
        <v>1758-2946</v>
      </c>
      <c r="E3337" s="5">
        <v>5.5140000000000002</v>
      </c>
      <c r="F3337" s="5">
        <v>0.82899999999999996</v>
      </c>
    </row>
    <row r="3338" spans="2:6" x14ac:dyDescent="0.2">
      <c r="B3338" s="9" t="s">
        <v>7285</v>
      </c>
      <c r="C3338" s="15" t="s">
        <v>3169</v>
      </c>
      <c r="D3338" s="12" t="str">
        <f>"0891-0618"</f>
        <v>0891-0618</v>
      </c>
      <c r="E3338" s="5">
        <v>3.052</v>
      </c>
      <c r="F3338" s="5">
        <v>0.33800000000000002</v>
      </c>
    </row>
    <row r="3339" spans="2:6" x14ac:dyDescent="0.2">
      <c r="B3339" s="9" t="s">
        <v>10248</v>
      </c>
      <c r="C3339" s="15" t="s">
        <v>10249</v>
      </c>
      <c r="D3339" s="12" t="str">
        <f>"2090-9063"</f>
        <v>2090-9063</v>
      </c>
      <c r="E3339" s="5">
        <v>2.5059999999999998</v>
      </c>
      <c r="F3339" s="5">
        <v>0.41599999999999998</v>
      </c>
    </row>
    <row r="3340" spans="2:6" x14ac:dyDescent="0.2">
      <c r="B3340" s="9" t="s">
        <v>7290</v>
      </c>
      <c r="C3340" s="15" t="s">
        <v>3174</v>
      </c>
      <c r="D3340" s="12" t="str">
        <f>"0886-9383"</f>
        <v>0886-9383</v>
      </c>
      <c r="E3340" s="5">
        <v>2.4670000000000001</v>
      </c>
      <c r="F3340" s="5">
        <v>0.77600000000000002</v>
      </c>
    </row>
    <row r="3341" spans="2:6" x14ac:dyDescent="0.2">
      <c r="B3341" s="9" t="s">
        <v>7291</v>
      </c>
      <c r="C3341" s="15" t="s">
        <v>3175</v>
      </c>
      <c r="D3341" s="12" t="str">
        <f>"1120-009X"</f>
        <v>1120-009X</v>
      </c>
      <c r="E3341" s="5">
        <v>1.714</v>
      </c>
      <c r="F3341" s="5">
        <v>0.14499999999999999</v>
      </c>
    </row>
    <row r="3342" spans="2:6" x14ac:dyDescent="0.2">
      <c r="B3342" s="9" t="s">
        <v>10250</v>
      </c>
      <c r="C3342" s="15" t="s">
        <v>10251</v>
      </c>
      <c r="D3342" s="12" t="str">
        <f>"1747-5198"</f>
        <v>1747-5198</v>
      </c>
      <c r="E3342" s="5">
        <v>0.78200000000000003</v>
      </c>
      <c r="F3342" s="5">
        <v>0.107</v>
      </c>
    </row>
    <row r="3343" spans="2:6" x14ac:dyDescent="0.2">
      <c r="B3343" s="9" t="s">
        <v>7286</v>
      </c>
      <c r="C3343" s="15" t="s">
        <v>3170</v>
      </c>
      <c r="D3343" s="12" t="str">
        <f>"0974-3626"</f>
        <v>0974-3626</v>
      </c>
      <c r="E3343" s="5">
        <v>1.573</v>
      </c>
      <c r="F3343" s="5">
        <v>0.27</v>
      </c>
    </row>
    <row r="3344" spans="2:6" x14ac:dyDescent="0.2">
      <c r="B3344" s="9" t="s">
        <v>7287</v>
      </c>
      <c r="C3344" s="15" t="s">
        <v>3171</v>
      </c>
      <c r="D3344" s="12" t="str">
        <f>"0253-5106"</f>
        <v>0253-5106</v>
      </c>
      <c r="E3344" s="5">
        <v>0.53600000000000003</v>
      </c>
      <c r="F3344" s="5">
        <v>6.7000000000000004E-2</v>
      </c>
    </row>
    <row r="3345" spans="2:6" x14ac:dyDescent="0.2">
      <c r="B3345" s="9" t="s">
        <v>7288</v>
      </c>
      <c r="C3345" s="15" t="s">
        <v>3172</v>
      </c>
      <c r="D3345" s="12" t="str">
        <f>"0268-2575"</f>
        <v>0268-2575</v>
      </c>
      <c r="E3345" s="5">
        <v>3.1739999999999999</v>
      </c>
      <c r="F3345" s="5">
        <v>0.56599999999999995</v>
      </c>
    </row>
    <row r="3346" spans="2:6" x14ac:dyDescent="0.2">
      <c r="B3346" s="9" t="s">
        <v>7289</v>
      </c>
      <c r="C3346" s="15" t="s">
        <v>3173</v>
      </c>
      <c r="D3346" s="12" t="str">
        <f>"1549-9618"</f>
        <v>1549-9618</v>
      </c>
      <c r="E3346" s="5">
        <v>6.0060000000000002</v>
      </c>
      <c r="F3346" s="5">
        <v>0.89200000000000002</v>
      </c>
    </row>
    <row r="3347" spans="2:6" x14ac:dyDescent="0.2">
      <c r="B3347" s="9" t="s">
        <v>7292</v>
      </c>
      <c r="C3347" s="15" t="s">
        <v>3176</v>
      </c>
      <c r="D3347" s="12" t="str">
        <f>"0717-9707"</f>
        <v>0717-9707</v>
      </c>
      <c r="E3347" s="5">
        <v>1.034</v>
      </c>
      <c r="F3347" s="5">
        <v>0.16300000000000001</v>
      </c>
    </row>
    <row r="3348" spans="2:6" x14ac:dyDescent="0.2">
      <c r="B3348" s="9" t="s">
        <v>1580</v>
      </c>
      <c r="C3348" s="15" t="s">
        <v>1581</v>
      </c>
      <c r="D3348" s="12" t="str">
        <f>"1067-828X"</f>
        <v>1067-828X</v>
      </c>
      <c r="E3348" s="5">
        <v>0.76300000000000001</v>
      </c>
      <c r="F3348" s="5">
        <v>2.4E-2</v>
      </c>
    </row>
    <row r="3349" spans="2:6" x14ac:dyDescent="0.2">
      <c r="B3349" s="9" t="s">
        <v>7293</v>
      </c>
      <c r="C3349" s="15" t="s">
        <v>3177</v>
      </c>
      <c r="D3349" s="12" t="str">
        <f>"1557-8992"</f>
        <v>1557-8992</v>
      </c>
      <c r="E3349" s="5">
        <v>2.5760000000000001</v>
      </c>
      <c r="F3349" s="5">
        <v>0.63600000000000001</v>
      </c>
    </row>
    <row r="3350" spans="2:6" x14ac:dyDescent="0.2">
      <c r="B3350" s="9" t="s">
        <v>10252</v>
      </c>
      <c r="C3350" s="15" t="s">
        <v>10253</v>
      </c>
      <c r="D3350" s="12" t="str">
        <f>"1062-1024"</f>
        <v>1062-1024</v>
      </c>
      <c r="E3350" s="5">
        <v>2.278</v>
      </c>
      <c r="F3350" s="5">
        <v>0.54300000000000004</v>
      </c>
    </row>
    <row r="3351" spans="2:6" x14ac:dyDescent="0.2">
      <c r="B3351" s="9" t="s">
        <v>10254</v>
      </c>
      <c r="C3351" s="15" t="s">
        <v>10255</v>
      </c>
      <c r="D3351" s="12" t="str">
        <f>"1367-4935"</f>
        <v>1367-4935</v>
      </c>
      <c r="E3351" s="5">
        <v>1.9790000000000001</v>
      </c>
      <c r="F3351" s="5">
        <v>0.54</v>
      </c>
    </row>
    <row r="3352" spans="2:6" x14ac:dyDescent="0.2">
      <c r="B3352" s="9" t="s">
        <v>1582</v>
      </c>
      <c r="C3352" s="15" t="s">
        <v>1583</v>
      </c>
      <c r="D3352" s="12" t="str">
        <f>"0305-0009"</f>
        <v>0305-0009</v>
      </c>
      <c r="E3352" s="5">
        <v>1.429</v>
      </c>
      <c r="F3352" s="5">
        <v>0.57299999999999995</v>
      </c>
    </row>
    <row r="3353" spans="2:6" x14ac:dyDescent="0.2">
      <c r="B3353" s="9" t="s">
        <v>10256</v>
      </c>
      <c r="C3353" s="15" t="s">
        <v>10257</v>
      </c>
      <c r="D3353" s="12" t="str">
        <f>"1748-2798"</f>
        <v>1748-2798</v>
      </c>
      <c r="E3353" s="5">
        <v>2.0179999999999998</v>
      </c>
      <c r="F3353" s="5">
        <v>0.54100000000000004</v>
      </c>
    </row>
    <row r="3354" spans="2:6" x14ac:dyDescent="0.2">
      <c r="B3354" s="9" t="s">
        <v>7294</v>
      </c>
      <c r="C3354" s="15" t="s">
        <v>3178</v>
      </c>
      <c r="D3354" s="12" t="str">
        <f>"0883-0738"</f>
        <v>0883-0738</v>
      </c>
      <c r="E3354" s="5">
        <v>1.9870000000000001</v>
      </c>
      <c r="F3354" s="5">
        <v>0.42599999999999999</v>
      </c>
    </row>
    <row r="3355" spans="2:6" x14ac:dyDescent="0.2">
      <c r="B3355" s="9" t="s">
        <v>10258</v>
      </c>
      <c r="C3355" s="15" t="s">
        <v>10259</v>
      </c>
      <c r="D3355" s="12" t="str">
        <f>"1863-2521"</f>
        <v>1863-2521</v>
      </c>
      <c r="E3355" s="5">
        <v>1.548</v>
      </c>
      <c r="F3355" s="5">
        <v>0.25900000000000001</v>
      </c>
    </row>
    <row r="3356" spans="2:6" x14ac:dyDescent="0.2">
      <c r="B3356" s="9" t="s">
        <v>1584</v>
      </c>
      <c r="C3356" s="15" t="s">
        <v>1585</v>
      </c>
      <c r="D3356" s="12" t="str">
        <f>"0021-9630"</f>
        <v>0021-9630</v>
      </c>
      <c r="E3356" s="5">
        <v>8.9819999999999993</v>
      </c>
      <c r="F3356" s="5">
        <v>1</v>
      </c>
    </row>
    <row r="3357" spans="2:6" x14ac:dyDescent="0.2">
      <c r="B3357" s="9" t="s">
        <v>10260</v>
      </c>
      <c r="C3357" s="15" t="s">
        <v>10261</v>
      </c>
      <c r="D3357" s="12" t="str">
        <f>"1053-8712"</f>
        <v>1053-8712</v>
      </c>
      <c r="E3357" s="5">
        <v>2.1890000000000001</v>
      </c>
      <c r="F3357" s="5">
        <v>0.52200000000000002</v>
      </c>
    </row>
    <row r="3358" spans="2:6" x14ac:dyDescent="0.2">
      <c r="B3358" s="9" t="s">
        <v>7295</v>
      </c>
      <c r="C3358" s="15" t="s">
        <v>3179</v>
      </c>
      <c r="D3358" s="12" t="str">
        <f>"0009-4536"</f>
        <v>0009-4536</v>
      </c>
      <c r="E3358" s="5">
        <v>1.9670000000000001</v>
      </c>
      <c r="F3358" s="5">
        <v>0.33700000000000002</v>
      </c>
    </row>
    <row r="3359" spans="2:6" x14ac:dyDescent="0.2">
      <c r="B3359" s="9" t="s">
        <v>10262</v>
      </c>
      <c r="C3359" s="15" t="s">
        <v>10263</v>
      </c>
      <c r="D3359" s="12" t="str">
        <f>"1726-4901"</f>
        <v>1726-4901</v>
      </c>
      <c r="E3359" s="5">
        <v>2.7429999999999999</v>
      </c>
      <c r="F3359" s="5">
        <v>0.63500000000000001</v>
      </c>
    </row>
    <row r="3360" spans="2:6" x14ac:dyDescent="0.2">
      <c r="B3360" s="9" t="s">
        <v>10264</v>
      </c>
      <c r="C3360" s="15" t="s">
        <v>10265</v>
      </c>
      <c r="D3360" s="12" t="str">
        <f>"0257-9731"</f>
        <v>0257-9731</v>
      </c>
      <c r="E3360" s="5">
        <v>0.21099999999999999</v>
      </c>
      <c r="F3360" s="5">
        <v>8.0000000000000002E-3</v>
      </c>
    </row>
    <row r="3361" spans="2:6" x14ac:dyDescent="0.2">
      <c r="B3361" s="9" t="s">
        <v>7296</v>
      </c>
      <c r="C3361" s="15" t="s">
        <v>3180</v>
      </c>
      <c r="D3361" s="12" t="str">
        <f>"0021-9673"</f>
        <v>0021-9673</v>
      </c>
      <c r="E3361" s="5">
        <v>4.7590000000000003</v>
      </c>
      <c r="F3361" s="5">
        <v>0.84399999999999997</v>
      </c>
    </row>
    <row r="3362" spans="2:6" ht="25.5" x14ac:dyDescent="0.2">
      <c r="B3362" s="9" t="s">
        <v>7297</v>
      </c>
      <c r="C3362" s="15" t="s">
        <v>10266</v>
      </c>
      <c r="D3362" s="12" t="str">
        <f>"1570-0232"</f>
        <v>1570-0232</v>
      </c>
      <c r="E3362" s="5">
        <v>3.2050000000000001</v>
      </c>
      <c r="F3362" s="5">
        <v>0.57799999999999996</v>
      </c>
    </row>
    <row r="3363" spans="2:6" x14ac:dyDescent="0.2">
      <c r="B3363" s="9" t="s">
        <v>7298</v>
      </c>
      <c r="C3363" s="15" t="s">
        <v>3181</v>
      </c>
      <c r="D3363" s="12" t="str">
        <f>"0021-9665"</f>
        <v>0021-9665</v>
      </c>
      <c r="E3363" s="5">
        <v>1.6180000000000001</v>
      </c>
      <c r="F3363" s="5">
        <v>0.14499999999999999</v>
      </c>
    </row>
    <row r="3364" spans="2:6" x14ac:dyDescent="0.2">
      <c r="B3364" s="9" t="s">
        <v>10267</v>
      </c>
      <c r="C3364" s="15" t="s">
        <v>10268</v>
      </c>
      <c r="D3364" s="12" t="str">
        <f>"2379-3708"</f>
        <v>2379-3708</v>
      </c>
      <c r="E3364" s="5">
        <v>8.3149999999999995</v>
      </c>
      <c r="F3364" s="5">
        <v>0.89300000000000002</v>
      </c>
    </row>
    <row r="3365" spans="2:6" x14ac:dyDescent="0.2">
      <c r="B3365" s="9" t="s">
        <v>1586</v>
      </c>
      <c r="C3365" s="15" t="s">
        <v>1587</v>
      </c>
      <c r="D3365" s="12" t="str">
        <f>"0176-4268"</f>
        <v>0176-4268</v>
      </c>
      <c r="E3365" s="5">
        <v>1.673</v>
      </c>
      <c r="F3365" s="5">
        <v>0.37</v>
      </c>
    </row>
    <row r="3366" spans="2:6" x14ac:dyDescent="0.2">
      <c r="B3366" s="9" t="s">
        <v>7299</v>
      </c>
      <c r="C3366" s="15" t="s">
        <v>3182</v>
      </c>
      <c r="D3366" s="12" t="str">
        <f>"0952-8180"</f>
        <v>0952-8180</v>
      </c>
      <c r="E3366" s="5">
        <v>9.452</v>
      </c>
      <c r="F3366" s="5">
        <v>1</v>
      </c>
    </row>
    <row r="3367" spans="2:6" x14ac:dyDescent="0.2">
      <c r="B3367" s="9" t="s">
        <v>7300</v>
      </c>
      <c r="C3367" s="15" t="s">
        <v>3183</v>
      </c>
      <c r="D3367" s="12" t="str">
        <f>"0733-2459"</f>
        <v>0733-2459</v>
      </c>
      <c r="E3367" s="5">
        <v>2.8210000000000002</v>
      </c>
      <c r="F3367" s="5">
        <v>0.32900000000000001</v>
      </c>
    </row>
    <row r="3368" spans="2:6" x14ac:dyDescent="0.2">
      <c r="B3368" s="9" t="s">
        <v>7301</v>
      </c>
      <c r="C3368" s="15" t="s">
        <v>3184</v>
      </c>
      <c r="D3368" s="12" t="str">
        <f>"0912-0009"</f>
        <v>0912-0009</v>
      </c>
      <c r="E3368" s="5">
        <v>3.1139999999999999</v>
      </c>
      <c r="F3368" s="5">
        <v>0.375</v>
      </c>
    </row>
    <row r="3369" spans="2:6" x14ac:dyDescent="0.2">
      <c r="B3369" s="9" t="s">
        <v>1588</v>
      </c>
      <c r="C3369" s="15" t="s">
        <v>1589</v>
      </c>
      <c r="D3369" s="12" t="str">
        <f>"1537-4416"</f>
        <v>1537-4416</v>
      </c>
      <c r="E3369" s="5">
        <v>4.9640000000000004</v>
      </c>
      <c r="F3369" s="5">
        <v>0.87</v>
      </c>
    </row>
    <row r="3370" spans="2:6" x14ac:dyDescent="0.2">
      <c r="B3370" s="9" t="s">
        <v>7302</v>
      </c>
      <c r="C3370" s="15" t="s">
        <v>3185</v>
      </c>
      <c r="D3370" s="12" t="str">
        <f>"1094-6950"</f>
        <v>1094-6950</v>
      </c>
      <c r="E3370" s="5">
        <v>2.617</v>
      </c>
      <c r="F3370" s="5">
        <v>0.214</v>
      </c>
    </row>
    <row r="3371" spans="2:6" x14ac:dyDescent="0.2">
      <c r="B3371" s="9" t="s">
        <v>7303</v>
      </c>
      <c r="C3371" s="15" t="s">
        <v>1590</v>
      </c>
      <c r="D3371" s="12" t="str">
        <f>"0021-972X"</f>
        <v>0021-972X</v>
      </c>
      <c r="E3371" s="5">
        <v>5.9580000000000002</v>
      </c>
      <c r="F3371" s="5">
        <v>0.81399999999999995</v>
      </c>
    </row>
    <row r="3372" spans="2:6" x14ac:dyDescent="0.2">
      <c r="B3372" s="9" t="s">
        <v>7304</v>
      </c>
      <c r="C3372" s="15" t="s">
        <v>3186</v>
      </c>
      <c r="D3372" s="12" t="str">
        <f>"0895-4356"</f>
        <v>0895-4356</v>
      </c>
      <c r="E3372" s="5">
        <v>6.4370000000000003</v>
      </c>
      <c r="F3372" s="5">
        <v>0.96299999999999997</v>
      </c>
    </row>
    <row r="3373" spans="2:6" x14ac:dyDescent="0.2">
      <c r="B3373" s="9" t="s">
        <v>7305</v>
      </c>
      <c r="C3373" s="15" t="s">
        <v>3187</v>
      </c>
      <c r="D3373" s="12" t="str">
        <f>"1744-411X"</f>
        <v>1744-411X</v>
      </c>
      <c r="E3373" s="5">
        <v>2.4750000000000001</v>
      </c>
      <c r="F3373" s="5">
        <v>0.442</v>
      </c>
    </row>
    <row r="3374" spans="2:6" x14ac:dyDescent="0.2">
      <c r="B3374" s="9" t="s">
        <v>7306</v>
      </c>
      <c r="C3374" s="15" t="s">
        <v>3188</v>
      </c>
      <c r="D3374" s="12" t="str">
        <f>"0192-0790"</f>
        <v>0192-0790</v>
      </c>
      <c r="E3374" s="5">
        <v>3.0619999999999998</v>
      </c>
      <c r="F3374" s="5">
        <v>0.28299999999999997</v>
      </c>
    </row>
    <row r="3375" spans="2:6" x14ac:dyDescent="0.2">
      <c r="B3375" s="9" t="s">
        <v>10269</v>
      </c>
      <c r="C3375" s="15" t="s">
        <v>10270</v>
      </c>
      <c r="D3375" s="12" t="str">
        <f>"1524-6175"</f>
        <v>1524-6175</v>
      </c>
      <c r="E3375" s="5">
        <v>3.738</v>
      </c>
      <c r="F3375" s="5">
        <v>0.64600000000000002</v>
      </c>
    </row>
    <row r="3376" spans="2:6" x14ac:dyDescent="0.2">
      <c r="B3376" s="9" t="s">
        <v>7307</v>
      </c>
      <c r="C3376" s="15" t="s">
        <v>3189</v>
      </c>
      <c r="D3376" s="12" t="str">
        <f>"0271-9142"</f>
        <v>0271-9142</v>
      </c>
      <c r="E3376" s="5">
        <v>8.3170000000000002</v>
      </c>
      <c r="F3376" s="5">
        <v>0.87</v>
      </c>
    </row>
    <row r="3377" spans="2:6" x14ac:dyDescent="0.2">
      <c r="B3377" s="9" t="s">
        <v>7308</v>
      </c>
      <c r="C3377" s="15" t="s">
        <v>3190</v>
      </c>
      <c r="D3377" s="12" t="str">
        <f>"0021-9738"</f>
        <v>0021-9738</v>
      </c>
      <c r="E3377" s="5">
        <v>14.808</v>
      </c>
      <c r="F3377" s="5">
        <v>0.98599999999999999</v>
      </c>
    </row>
    <row r="3378" spans="2:6" x14ac:dyDescent="0.2">
      <c r="B3378" s="9" t="s">
        <v>7309</v>
      </c>
      <c r="C3378" s="15" t="s">
        <v>3191</v>
      </c>
      <c r="D3378" s="12" t="str">
        <f>"0887-8013"</f>
        <v>0887-8013</v>
      </c>
      <c r="E3378" s="5">
        <v>2.3519999999999999</v>
      </c>
      <c r="F3378" s="5">
        <v>0.51700000000000002</v>
      </c>
    </row>
    <row r="3379" spans="2:6" x14ac:dyDescent="0.2">
      <c r="B3379" s="9" t="s">
        <v>1591</v>
      </c>
      <c r="C3379" s="15" t="s">
        <v>1592</v>
      </c>
      <c r="D3379" s="12" t="str">
        <f>"1933-2874"</f>
        <v>1933-2874</v>
      </c>
      <c r="E3379" s="5">
        <v>4.766</v>
      </c>
      <c r="F3379" s="5">
        <v>0.73499999999999999</v>
      </c>
    </row>
    <row r="3380" spans="2:6" x14ac:dyDescent="0.2">
      <c r="B3380" s="9" t="s">
        <v>10271</v>
      </c>
      <c r="C3380" s="15" t="s">
        <v>10272</v>
      </c>
      <c r="D3380" s="12" t="str">
        <f>"2077-0383"</f>
        <v>2077-0383</v>
      </c>
      <c r="E3380" s="5">
        <v>4.2409999999999997</v>
      </c>
      <c r="F3380" s="5">
        <v>0.77200000000000002</v>
      </c>
    </row>
    <row r="3381" spans="2:6" x14ac:dyDescent="0.2">
      <c r="B3381" s="9" t="s">
        <v>7310</v>
      </c>
      <c r="C3381" s="15" t="s">
        <v>3192</v>
      </c>
      <c r="D3381" s="12" t="str">
        <f>"0095-1137"</f>
        <v>0095-1137</v>
      </c>
      <c r="E3381" s="5">
        <v>5.9480000000000004</v>
      </c>
      <c r="F3381" s="5">
        <v>0.84399999999999997</v>
      </c>
    </row>
    <row r="3382" spans="2:6" x14ac:dyDescent="0.2">
      <c r="B3382" s="9" t="s">
        <v>10273</v>
      </c>
      <c r="C3382" s="15" t="s">
        <v>10274</v>
      </c>
      <c r="D3382" s="12" t="str">
        <f>"1387-1307"</f>
        <v>1387-1307</v>
      </c>
      <c r="E3382" s="5">
        <v>2.5019999999999998</v>
      </c>
      <c r="F3382" s="5">
        <v>0.33300000000000002</v>
      </c>
    </row>
    <row r="3383" spans="2:6" x14ac:dyDescent="0.2">
      <c r="B3383" s="9" t="s">
        <v>1593</v>
      </c>
      <c r="C3383" s="15" t="s">
        <v>1594</v>
      </c>
      <c r="D3383" s="12" t="str">
        <f>"1738-6586"</f>
        <v>1738-6586</v>
      </c>
      <c r="E3383" s="5">
        <v>3.077</v>
      </c>
      <c r="F3383" s="5">
        <v>0.44700000000000001</v>
      </c>
    </row>
    <row r="3384" spans="2:6" x14ac:dyDescent="0.2">
      <c r="B3384" s="9" t="s">
        <v>7311</v>
      </c>
      <c r="C3384" s="15" t="s">
        <v>3193</v>
      </c>
      <c r="D3384" s="12" t="str">
        <f>"0736-0258"</f>
        <v>0736-0258</v>
      </c>
      <c r="E3384" s="5">
        <v>2.177</v>
      </c>
      <c r="F3384" s="5">
        <v>0.24</v>
      </c>
    </row>
    <row r="3385" spans="2:6" x14ac:dyDescent="0.2">
      <c r="B3385" s="9" t="s">
        <v>7312</v>
      </c>
      <c r="C3385" s="15" t="s">
        <v>3194</v>
      </c>
      <c r="D3385" s="12" t="str">
        <f>"0967-5868"</f>
        <v>0967-5868</v>
      </c>
      <c r="E3385" s="5">
        <v>1.9610000000000001</v>
      </c>
      <c r="F3385" s="5">
        <v>0.20200000000000001</v>
      </c>
    </row>
    <row r="3386" spans="2:6" x14ac:dyDescent="0.2">
      <c r="B3386" s="9" t="s">
        <v>7313</v>
      </c>
      <c r="C3386" s="15" t="s">
        <v>3195</v>
      </c>
      <c r="D3386" s="12" t="str">
        <f>"0962-1067"</f>
        <v>0962-1067</v>
      </c>
      <c r="E3386" s="5">
        <v>3.036</v>
      </c>
      <c r="F3386" s="5">
        <v>0.90500000000000003</v>
      </c>
    </row>
    <row r="3387" spans="2:6" x14ac:dyDescent="0.2">
      <c r="B3387" s="9" t="s">
        <v>7314</v>
      </c>
      <c r="C3387" s="15" t="s">
        <v>3196</v>
      </c>
      <c r="D3387" s="12" t="str">
        <f>"0732-183X"</f>
        <v>0732-183X</v>
      </c>
      <c r="E3387" s="5">
        <v>44.543999999999997</v>
      </c>
      <c r="F3387" s="5">
        <v>0.98799999999999999</v>
      </c>
    </row>
    <row r="3388" spans="2:6" x14ac:dyDescent="0.2">
      <c r="B3388" s="9" t="s">
        <v>7315</v>
      </c>
      <c r="C3388" s="15" t="s">
        <v>3197</v>
      </c>
      <c r="D3388" s="12" t="str">
        <f>"0021-9746"</f>
        <v>0021-9746</v>
      </c>
      <c r="E3388" s="5">
        <v>3.411</v>
      </c>
      <c r="F3388" s="5">
        <v>0.623</v>
      </c>
    </row>
    <row r="3389" spans="2:6" x14ac:dyDescent="0.2">
      <c r="B3389" s="9" t="s">
        <v>10275</v>
      </c>
      <c r="C3389" s="15" t="s">
        <v>10276</v>
      </c>
      <c r="D3389" s="12" t="str">
        <f>"1053-4628"</f>
        <v>1053-4628</v>
      </c>
      <c r="E3389" s="5">
        <v>1.0649999999999999</v>
      </c>
      <c r="F3389" s="5">
        <v>7.8E-2</v>
      </c>
    </row>
    <row r="3390" spans="2:6" x14ac:dyDescent="0.2">
      <c r="B3390" s="9" t="s">
        <v>7316</v>
      </c>
      <c r="C3390" s="15" t="s">
        <v>3198</v>
      </c>
      <c r="D3390" s="12" t="str">
        <f>"0303-6979"</f>
        <v>0303-6979</v>
      </c>
      <c r="E3390" s="5">
        <v>8.7279999999999998</v>
      </c>
      <c r="F3390" s="5">
        <v>1</v>
      </c>
    </row>
    <row r="3391" spans="2:6" x14ac:dyDescent="0.2">
      <c r="B3391" s="9" t="s">
        <v>7318</v>
      </c>
      <c r="C3391" s="15" t="s">
        <v>3200</v>
      </c>
      <c r="D3391" s="12" t="str">
        <f>"0091-2700"</f>
        <v>0091-2700</v>
      </c>
      <c r="E3391" s="5">
        <v>3.1259999999999999</v>
      </c>
      <c r="F3391" s="5">
        <v>0.433</v>
      </c>
    </row>
    <row r="3392" spans="2:6" x14ac:dyDescent="0.2">
      <c r="B3392" s="9" t="s">
        <v>7317</v>
      </c>
      <c r="C3392" s="15" t="s">
        <v>3199</v>
      </c>
      <c r="D3392" s="12" t="str">
        <f>"0269-4727"</f>
        <v>0269-4727</v>
      </c>
      <c r="E3392" s="5">
        <v>2.512</v>
      </c>
      <c r="F3392" s="5">
        <v>0.29099999999999998</v>
      </c>
    </row>
    <row r="3393" spans="2:6" x14ac:dyDescent="0.2">
      <c r="B3393" s="9" t="s">
        <v>7319</v>
      </c>
      <c r="C3393" s="15" t="s">
        <v>3201</v>
      </c>
      <c r="D3393" s="12" t="str">
        <f>"0160-6689"</f>
        <v>0160-6689</v>
      </c>
      <c r="E3393" s="5">
        <v>4.3840000000000003</v>
      </c>
      <c r="F3393" s="5">
        <v>0.8</v>
      </c>
    </row>
    <row r="3394" spans="2:6" x14ac:dyDescent="0.2">
      <c r="B3394" s="9" t="s">
        <v>1595</v>
      </c>
      <c r="C3394" s="15" t="s">
        <v>1596</v>
      </c>
      <c r="D3394" s="12" t="str">
        <f>"0021-9762"</f>
        <v>0021-9762</v>
      </c>
      <c r="E3394" s="5">
        <v>2.8849999999999998</v>
      </c>
      <c r="F3394" s="5">
        <v>0.50800000000000001</v>
      </c>
    </row>
    <row r="3395" spans="2:6" x14ac:dyDescent="0.2">
      <c r="B3395" s="9" t="s">
        <v>1597</v>
      </c>
      <c r="C3395" s="15" t="s">
        <v>1598</v>
      </c>
      <c r="D3395" s="12" t="str">
        <f>"1068-9583"</f>
        <v>1068-9583</v>
      </c>
      <c r="E3395" s="5">
        <v>2.6150000000000002</v>
      </c>
      <c r="F3395" s="5">
        <v>0.41499999999999998</v>
      </c>
    </row>
    <row r="3396" spans="2:6" x14ac:dyDescent="0.2">
      <c r="B3396" s="9" t="s">
        <v>7320</v>
      </c>
      <c r="C3396" s="15" t="s">
        <v>3202</v>
      </c>
      <c r="D3396" s="12" t="str">
        <f>"0271-0749"</f>
        <v>0271-0749</v>
      </c>
      <c r="E3396" s="5">
        <v>3.153</v>
      </c>
      <c r="F3396" s="5">
        <v>0.53200000000000003</v>
      </c>
    </row>
    <row r="3397" spans="2:6" x14ac:dyDescent="0.2">
      <c r="B3397" s="9" t="s">
        <v>10277</v>
      </c>
      <c r="C3397" s="15" t="s">
        <v>10278</v>
      </c>
      <c r="D3397" s="12" t="str">
        <f>"1308-5727"</f>
        <v>1308-5727</v>
      </c>
      <c r="E3397" s="5">
        <v>1.9330000000000001</v>
      </c>
      <c r="F3397" s="5">
        <v>0.372</v>
      </c>
    </row>
    <row r="3398" spans="2:6" x14ac:dyDescent="0.2">
      <c r="B3398" s="9" t="s">
        <v>10279</v>
      </c>
      <c r="C3398" s="15" t="s">
        <v>10280</v>
      </c>
      <c r="D3398" s="12" t="str">
        <f>"1550-9389"</f>
        <v>1550-9389</v>
      </c>
      <c r="E3398" s="5">
        <v>4.0620000000000003</v>
      </c>
      <c r="F3398" s="5">
        <v>0.67300000000000004</v>
      </c>
    </row>
    <row r="3399" spans="2:6" x14ac:dyDescent="0.2">
      <c r="B3399" s="9" t="s">
        <v>10281</v>
      </c>
      <c r="C3399" s="15" t="s">
        <v>10282</v>
      </c>
      <c r="D3399" s="12" t="str">
        <f>"1932-9261"</f>
        <v>1932-9261</v>
      </c>
      <c r="E3399" s="5">
        <v>1.5309999999999999</v>
      </c>
      <c r="F3399" s="5">
        <v>0.22900000000000001</v>
      </c>
    </row>
    <row r="3400" spans="2:6" x14ac:dyDescent="0.2">
      <c r="B3400" s="9" t="s">
        <v>10283</v>
      </c>
      <c r="C3400" s="15" t="s">
        <v>10284</v>
      </c>
      <c r="D3400" s="12" t="str">
        <f>"2225-0719"</f>
        <v>2225-0719</v>
      </c>
      <c r="E3400" s="5">
        <v>4.1079999999999997</v>
      </c>
      <c r="F3400" s="5">
        <v>0.55400000000000005</v>
      </c>
    </row>
    <row r="3401" spans="2:6" x14ac:dyDescent="0.2">
      <c r="B3401" s="9" t="s">
        <v>7321</v>
      </c>
      <c r="C3401" s="15" t="s">
        <v>3203</v>
      </c>
      <c r="D3401" s="12" t="str">
        <f>"0091-2751"</f>
        <v>0091-2751</v>
      </c>
      <c r="E3401" s="5">
        <v>0.91</v>
      </c>
      <c r="F3401" s="5">
        <v>0.19400000000000001</v>
      </c>
    </row>
    <row r="3402" spans="2:6" x14ac:dyDescent="0.2">
      <c r="B3402" s="9" t="s">
        <v>7322</v>
      </c>
      <c r="C3402" s="15" t="s">
        <v>3204</v>
      </c>
      <c r="D3402" s="12" t="str">
        <f>"1386-6532"</f>
        <v>1386-6532</v>
      </c>
      <c r="E3402" s="5">
        <v>3.1680000000000001</v>
      </c>
      <c r="F3402" s="5">
        <v>0.41699999999999998</v>
      </c>
    </row>
    <row r="3403" spans="2:6" x14ac:dyDescent="0.2">
      <c r="B3403" s="9" t="s">
        <v>10285</v>
      </c>
      <c r="C3403" s="15" t="s">
        <v>10286</v>
      </c>
      <c r="D3403" s="12" t="str">
        <f>"2212-9820"</f>
        <v>2212-9820</v>
      </c>
      <c r="E3403" s="5">
        <v>7.1319999999999997</v>
      </c>
      <c r="F3403" s="5">
        <v>0.88800000000000001</v>
      </c>
    </row>
    <row r="3404" spans="2:6" x14ac:dyDescent="0.2">
      <c r="B3404" s="9" t="s">
        <v>10287</v>
      </c>
      <c r="C3404" s="15" t="s">
        <v>10288</v>
      </c>
      <c r="D3404" s="12" t="str">
        <f>"1524-8372"</f>
        <v>1524-8372</v>
      </c>
      <c r="E3404" s="5">
        <v>1.8260000000000001</v>
      </c>
      <c r="F3404" s="5">
        <v>0.25600000000000001</v>
      </c>
    </row>
    <row r="3405" spans="2:6" x14ac:dyDescent="0.2">
      <c r="B3405" s="9" t="s">
        <v>7323</v>
      </c>
      <c r="C3405" s="15" t="s">
        <v>3205</v>
      </c>
      <c r="D3405" s="12" t="str">
        <f>"0898-929X"</f>
        <v>0898-929X</v>
      </c>
      <c r="E3405" s="5">
        <v>3.2250000000000001</v>
      </c>
      <c r="F3405" s="5">
        <v>0.7</v>
      </c>
    </row>
    <row r="3406" spans="2:6" x14ac:dyDescent="0.2">
      <c r="B3406" s="9" t="s">
        <v>10289</v>
      </c>
      <c r="C3406" s="15" t="s">
        <v>10290</v>
      </c>
      <c r="D3406" s="12" t="str">
        <f>"2044-5911"</f>
        <v>2044-5911</v>
      </c>
      <c r="E3406" s="5">
        <v>1.0620000000000001</v>
      </c>
      <c r="F3406" s="5">
        <v>6.7000000000000004E-2</v>
      </c>
    </row>
    <row r="3407" spans="2:6" x14ac:dyDescent="0.2">
      <c r="B3407" s="9" t="s">
        <v>10291</v>
      </c>
      <c r="C3407" s="15" t="s">
        <v>10292</v>
      </c>
      <c r="D3407" s="12" t="str">
        <f>"0889-8391"</f>
        <v>0889-8391</v>
      </c>
      <c r="E3407" s="5">
        <v>0.46800000000000003</v>
      </c>
      <c r="F3407" s="5">
        <v>3.7999999999999999E-2</v>
      </c>
    </row>
    <row r="3408" spans="2:6" x14ac:dyDescent="0.2">
      <c r="B3408" s="9" t="s">
        <v>1599</v>
      </c>
      <c r="C3408" s="15" t="s">
        <v>1600</v>
      </c>
      <c r="D3408" s="12" t="str">
        <f>"0897-5264"</f>
        <v>0897-5264</v>
      </c>
      <c r="E3408" s="5">
        <v>2.169</v>
      </c>
      <c r="F3408" s="5">
        <v>0.44700000000000001</v>
      </c>
    </row>
    <row r="3409" spans="2:6" x14ac:dyDescent="0.2">
      <c r="B3409" s="9" t="s">
        <v>1601</v>
      </c>
      <c r="C3409" s="15" t="s">
        <v>1602</v>
      </c>
      <c r="D3409" s="12" t="str">
        <f>"1382-6905"</f>
        <v>1382-6905</v>
      </c>
      <c r="E3409" s="5">
        <v>1.1950000000000001</v>
      </c>
      <c r="F3409" s="5">
        <v>0.4</v>
      </c>
    </row>
    <row r="3410" spans="2:6" x14ac:dyDescent="0.2">
      <c r="B3410" s="9" t="s">
        <v>1603</v>
      </c>
      <c r="C3410" s="15" t="s">
        <v>1604</v>
      </c>
      <c r="D3410" s="12" t="str">
        <f>"0021-9924"</f>
        <v>0021-9924</v>
      </c>
      <c r="E3410" s="5">
        <v>2.2879999999999998</v>
      </c>
      <c r="F3410" s="5">
        <v>0.80700000000000005</v>
      </c>
    </row>
    <row r="3411" spans="2:6" x14ac:dyDescent="0.2">
      <c r="B3411" s="9" t="s">
        <v>1605</v>
      </c>
      <c r="C3411" s="15" t="s">
        <v>1606</v>
      </c>
      <c r="D3411" s="12" t="str">
        <f>"0094-5145"</f>
        <v>0094-5145</v>
      </c>
      <c r="E3411" s="5">
        <v>1.883</v>
      </c>
      <c r="F3411" s="5">
        <v>0.30399999999999999</v>
      </c>
    </row>
    <row r="3412" spans="2:6" x14ac:dyDescent="0.2">
      <c r="B3412" s="9" t="s">
        <v>1607</v>
      </c>
      <c r="C3412" s="15" t="s">
        <v>1608</v>
      </c>
      <c r="D3412" s="12" t="str">
        <f>"0737-0016"</f>
        <v>0737-0016</v>
      </c>
      <c r="E3412" s="5">
        <v>0.97399999999999998</v>
      </c>
      <c r="F3412" s="5">
        <v>0.10299999999999999</v>
      </c>
    </row>
    <row r="3413" spans="2:6" x14ac:dyDescent="0.2">
      <c r="B3413" s="9" t="s">
        <v>1609</v>
      </c>
      <c r="C3413" s="15" t="s">
        <v>1610</v>
      </c>
      <c r="D3413" s="12" t="str">
        <f>"1052-9284"</f>
        <v>1052-9284</v>
      </c>
      <c r="E3413" s="5">
        <v>2.3660000000000001</v>
      </c>
      <c r="F3413" s="5">
        <v>0.40600000000000003</v>
      </c>
    </row>
    <row r="3414" spans="2:6" x14ac:dyDescent="0.2">
      <c r="B3414" s="9" t="s">
        <v>1611</v>
      </c>
      <c r="C3414" s="15" t="s">
        <v>1612</v>
      </c>
      <c r="D3414" s="12" t="str">
        <f>"0090-4392"</f>
        <v>0090-4392</v>
      </c>
      <c r="E3414" s="5">
        <v>2.282</v>
      </c>
      <c r="F3414" s="5">
        <v>0.70499999999999996</v>
      </c>
    </row>
    <row r="3415" spans="2:6" x14ac:dyDescent="0.2">
      <c r="B3415" s="9" t="s">
        <v>10293</v>
      </c>
      <c r="C3415" s="15" t="s">
        <v>10294</v>
      </c>
      <c r="D3415" s="12" t="str">
        <f>"2042-6313"</f>
        <v>2042-6313</v>
      </c>
      <c r="E3415" s="5">
        <v>1.744</v>
      </c>
      <c r="F3415" s="5">
        <v>0.15</v>
      </c>
    </row>
    <row r="3416" spans="2:6" x14ac:dyDescent="0.2">
      <c r="B3416" s="9" t="s">
        <v>7324</v>
      </c>
      <c r="C3416" s="15" t="s">
        <v>3206</v>
      </c>
      <c r="D3416" s="12" t="str">
        <f>"0021-9967"</f>
        <v>0021-9967</v>
      </c>
      <c r="E3416" s="5">
        <v>3.2149999999999999</v>
      </c>
      <c r="F3416" s="5">
        <v>0.94799999999999995</v>
      </c>
    </row>
    <row r="3417" spans="2:6" x14ac:dyDescent="0.2">
      <c r="B3417" s="9" t="s">
        <v>7325</v>
      </c>
      <c r="C3417" s="15" t="s">
        <v>3207</v>
      </c>
      <c r="D3417" s="12" t="str">
        <f>"0021-9975"</f>
        <v>0021-9975</v>
      </c>
      <c r="E3417" s="5">
        <v>1.3109999999999999</v>
      </c>
      <c r="F3417" s="5">
        <v>0.432</v>
      </c>
    </row>
    <row r="3418" spans="2:6" ht="25.5" x14ac:dyDescent="0.2">
      <c r="B3418" s="9" t="s">
        <v>7326</v>
      </c>
      <c r="C3418" s="15" t="s">
        <v>10295</v>
      </c>
      <c r="D3418" s="12" t="str">
        <f>"0340-7594"</f>
        <v>0340-7594</v>
      </c>
      <c r="E3418" s="5">
        <v>1.8360000000000001</v>
      </c>
      <c r="F3418" s="5">
        <v>0.626</v>
      </c>
    </row>
    <row r="3419" spans="2:6" x14ac:dyDescent="0.2">
      <c r="B3419" s="9" t="s">
        <v>7327</v>
      </c>
      <c r="C3419" s="15" t="s">
        <v>10296</v>
      </c>
      <c r="D3419" s="12" t="str">
        <f>"0174-1578"</f>
        <v>0174-1578</v>
      </c>
      <c r="E3419" s="5">
        <v>2.2000000000000002</v>
      </c>
      <c r="F3419" s="5">
        <v>0.73</v>
      </c>
    </row>
    <row r="3420" spans="2:6" x14ac:dyDescent="0.2">
      <c r="B3420" s="9" t="s">
        <v>7328</v>
      </c>
      <c r="C3420" s="15" t="s">
        <v>3208</v>
      </c>
      <c r="D3420" s="12" t="str">
        <f>"0735-7036"</f>
        <v>0735-7036</v>
      </c>
      <c r="E3420" s="5">
        <v>2.2309999999999999</v>
      </c>
      <c r="F3420" s="5">
        <v>0.747</v>
      </c>
    </row>
    <row r="3421" spans="2:6" x14ac:dyDescent="0.2">
      <c r="B3421" s="9" t="s">
        <v>7329</v>
      </c>
      <c r="C3421" s="15" t="s">
        <v>3209</v>
      </c>
      <c r="D3421" s="12" t="str">
        <f>"0920-654X"</f>
        <v>0920-654X</v>
      </c>
      <c r="E3421" s="5">
        <v>3.6859999999999999</v>
      </c>
      <c r="F3421" s="5">
        <v>0.62</v>
      </c>
    </row>
    <row r="3422" spans="2:6" x14ac:dyDescent="0.2">
      <c r="B3422" s="9" t="s">
        <v>7330</v>
      </c>
      <c r="C3422" s="15" t="s">
        <v>3210</v>
      </c>
      <c r="D3422" s="12" t="str">
        <f>"0363-8715"</f>
        <v>0363-8715</v>
      </c>
      <c r="E3422" s="5">
        <v>1.8260000000000001</v>
      </c>
      <c r="F3422" s="5">
        <v>0.23300000000000001</v>
      </c>
    </row>
    <row r="3423" spans="2:6" x14ac:dyDescent="0.2">
      <c r="B3423" s="9" t="s">
        <v>7331</v>
      </c>
      <c r="C3423" s="15" t="s">
        <v>3211</v>
      </c>
      <c r="D3423" s="12" t="str">
        <f>"1066-5277"</f>
        <v>1066-5277</v>
      </c>
      <c r="E3423" s="5">
        <v>1.4790000000000001</v>
      </c>
      <c r="F3423" s="5">
        <v>0.51200000000000001</v>
      </c>
    </row>
    <row r="3424" spans="2:6" x14ac:dyDescent="0.2">
      <c r="B3424" s="9" t="s">
        <v>7332</v>
      </c>
      <c r="C3424" s="15" t="s">
        <v>3212</v>
      </c>
      <c r="D3424" s="12" t="str">
        <f>"0192-8651"</f>
        <v>0192-8651</v>
      </c>
      <c r="E3424" s="5">
        <v>3.3759999999999999</v>
      </c>
      <c r="F3424" s="5">
        <v>0.55600000000000005</v>
      </c>
    </row>
    <row r="3425" spans="2:6" x14ac:dyDescent="0.2">
      <c r="B3425" s="9" t="s">
        <v>1613</v>
      </c>
      <c r="C3425" s="15" t="s">
        <v>1614</v>
      </c>
      <c r="D3425" s="12" t="str">
        <f>"0887-3801"</f>
        <v>0887-3801</v>
      </c>
      <c r="E3425" s="5">
        <v>4.6399999999999997</v>
      </c>
      <c r="F3425" s="5">
        <v>0.875</v>
      </c>
    </row>
    <row r="3426" spans="2:6" x14ac:dyDescent="0.2">
      <c r="B3426" s="9" t="s">
        <v>10297</v>
      </c>
      <c r="C3426" s="15" t="s">
        <v>10298</v>
      </c>
      <c r="D3426" s="12" t="str">
        <f>"2288-5048"</f>
        <v>2288-5048</v>
      </c>
      <c r="E3426" s="5">
        <v>5.86</v>
      </c>
      <c r="F3426" s="5">
        <v>0.91100000000000003</v>
      </c>
    </row>
    <row r="3427" spans="2:6" x14ac:dyDescent="0.2">
      <c r="B3427" s="9" t="s">
        <v>7333</v>
      </c>
      <c r="C3427" s="15" t="s">
        <v>3213</v>
      </c>
      <c r="D3427" s="12" t="str">
        <f>"1061-8600"</f>
        <v>1061-8600</v>
      </c>
      <c r="E3427" s="5">
        <v>2.302</v>
      </c>
      <c r="F3427" s="5">
        <v>0.72</v>
      </c>
    </row>
    <row r="3428" spans="2:6" x14ac:dyDescent="0.2">
      <c r="B3428" s="9" t="s">
        <v>1615</v>
      </c>
      <c r="C3428" s="15" t="s">
        <v>1616</v>
      </c>
      <c r="D3428" s="12" t="str">
        <f>"1530-9827"</f>
        <v>1530-9827</v>
      </c>
      <c r="E3428" s="5">
        <v>1.855</v>
      </c>
      <c r="F3428" s="5">
        <v>0.26100000000000001</v>
      </c>
    </row>
    <row r="3429" spans="2:6" x14ac:dyDescent="0.2">
      <c r="B3429" s="9" t="s">
        <v>1619</v>
      </c>
      <c r="C3429" s="15" t="s">
        <v>1620</v>
      </c>
      <c r="D3429" s="12" t="str">
        <f>"1083-6101"</f>
        <v>1083-6101</v>
      </c>
      <c r="E3429" s="5">
        <v>5.41</v>
      </c>
      <c r="F3429" s="5">
        <v>0.88300000000000001</v>
      </c>
    </row>
    <row r="3430" spans="2:6" x14ac:dyDescent="0.2">
      <c r="B3430" s="9" t="s">
        <v>7334</v>
      </c>
      <c r="C3430" s="15" t="s">
        <v>3214</v>
      </c>
      <c r="D3430" s="12" t="str">
        <f>"0929-5313"</f>
        <v>0929-5313</v>
      </c>
      <c r="E3430" s="5">
        <v>1.621</v>
      </c>
      <c r="F3430" s="5">
        <v>0.24099999999999999</v>
      </c>
    </row>
    <row r="3431" spans="2:6" x14ac:dyDescent="0.2">
      <c r="B3431" s="9" t="s">
        <v>10299</v>
      </c>
      <c r="C3431" s="15" t="s">
        <v>10300</v>
      </c>
      <c r="D3431" s="12" t="str">
        <f>"1555-1423"</f>
        <v>1555-1423</v>
      </c>
      <c r="E3431" s="5">
        <v>2.085</v>
      </c>
      <c r="F3431" s="5">
        <v>0.496</v>
      </c>
    </row>
    <row r="3432" spans="2:6" x14ac:dyDescent="0.2">
      <c r="B3432" s="9" t="s">
        <v>1617</v>
      </c>
      <c r="C3432" s="15" t="s">
        <v>1618</v>
      </c>
      <c r="D3432" s="12" t="str">
        <f>"0021-9991"</f>
        <v>0021-9991</v>
      </c>
      <c r="E3432" s="5">
        <v>3.5529999999999999</v>
      </c>
      <c r="F3432" s="5">
        <v>0.90900000000000003</v>
      </c>
    </row>
    <row r="3433" spans="2:6" x14ac:dyDescent="0.2">
      <c r="B3433" s="9" t="s">
        <v>10301</v>
      </c>
      <c r="C3433" s="15" t="s">
        <v>10302</v>
      </c>
      <c r="D3433" s="12" t="str">
        <f>"1877-7503"</f>
        <v>1877-7503</v>
      </c>
      <c r="E3433" s="5">
        <v>3.976</v>
      </c>
      <c r="F3433" s="5">
        <v>0.84499999999999997</v>
      </c>
    </row>
    <row r="3434" spans="2:6" x14ac:dyDescent="0.2">
      <c r="B3434" s="9" t="s">
        <v>1621</v>
      </c>
      <c r="C3434" s="15" t="s">
        <v>1622</v>
      </c>
      <c r="D3434" s="12" t="str">
        <f>"1355-8250"</f>
        <v>1355-8250</v>
      </c>
      <c r="E3434" s="5">
        <v>1.3480000000000001</v>
      </c>
      <c r="F3434" s="5">
        <v>0.33900000000000002</v>
      </c>
    </row>
    <row r="3435" spans="2:6" x14ac:dyDescent="0.2">
      <c r="B3435" s="9" t="s">
        <v>1623</v>
      </c>
      <c r="C3435" s="15" t="s">
        <v>1624</v>
      </c>
      <c r="D3435" s="12" t="str">
        <f>"1072-0537"</f>
        <v>1072-0537</v>
      </c>
      <c r="E3435" s="5">
        <v>1.1000000000000001</v>
      </c>
      <c r="F3435" s="5">
        <v>0.16200000000000001</v>
      </c>
    </row>
    <row r="3436" spans="2:6" x14ac:dyDescent="0.2">
      <c r="B3436" s="9" t="s">
        <v>1625</v>
      </c>
      <c r="C3436" s="15" t="s">
        <v>1626</v>
      </c>
      <c r="D3436" s="12" t="str">
        <f>"0022-006X"</f>
        <v>0022-006X</v>
      </c>
      <c r="E3436" s="5">
        <v>5.3479999999999999</v>
      </c>
      <c r="F3436" s="5">
        <v>0.89200000000000002</v>
      </c>
    </row>
    <row r="3437" spans="2:6" x14ac:dyDescent="0.2">
      <c r="B3437" s="9" t="s">
        <v>10303</v>
      </c>
      <c r="C3437" s="15" t="s">
        <v>10304</v>
      </c>
      <c r="D3437" s="12" t="str">
        <f>"1469-5405"</f>
        <v>1469-5405</v>
      </c>
      <c r="E3437" s="5">
        <v>4.1959999999999997</v>
      </c>
      <c r="F3437" s="5">
        <v>1</v>
      </c>
    </row>
    <row r="3438" spans="2:6" x14ac:dyDescent="0.2">
      <c r="B3438" s="9" t="s">
        <v>1627</v>
      </c>
      <c r="C3438" s="15" t="s">
        <v>1628</v>
      </c>
      <c r="D3438" s="12" t="str">
        <f>"1057-7408"</f>
        <v>1057-7408</v>
      </c>
      <c r="E3438" s="5">
        <v>3.33</v>
      </c>
      <c r="F3438" s="5">
        <v>0.57799999999999996</v>
      </c>
    </row>
    <row r="3439" spans="2:6" x14ac:dyDescent="0.2">
      <c r="B3439" s="9" t="s">
        <v>10305</v>
      </c>
      <c r="C3439" s="15" t="s">
        <v>10306</v>
      </c>
      <c r="D3439" s="12" t="str">
        <f>"1689-832X"</f>
        <v>1689-832X</v>
      </c>
      <c r="E3439" s="5">
        <v>1.6559999999999999</v>
      </c>
      <c r="F3439" s="5">
        <v>0.188</v>
      </c>
    </row>
    <row r="3440" spans="2:6" x14ac:dyDescent="0.2">
      <c r="B3440" s="9" t="s">
        <v>10307</v>
      </c>
      <c r="C3440" s="15" t="s">
        <v>10308</v>
      </c>
      <c r="D3440" s="12" t="str">
        <f>"2212-1447"</f>
        <v>2212-1447</v>
      </c>
      <c r="E3440" s="5">
        <v>3.0920000000000001</v>
      </c>
      <c r="F3440" s="5">
        <v>0.55400000000000005</v>
      </c>
    </row>
    <row r="3441" spans="2:6" x14ac:dyDescent="0.2">
      <c r="B3441" s="9" t="s">
        <v>1629</v>
      </c>
      <c r="C3441" s="15" t="s">
        <v>1630</v>
      </c>
      <c r="D3441" s="12" t="str">
        <f>"0894-1912"</f>
        <v>0894-1912</v>
      </c>
      <c r="E3441" s="5">
        <v>1.355</v>
      </c>
      <c r="F3441" s="5">
        <v>0.27900000000000003</v>
      </c>
    </row>
    <row r="3442" spans="2:6" x14ac:dyDescent="0.2">
      <c r="B3442" s="9" t="s">
        <v>10309</v>
      </c>
      <c r="C3442" s="15" t="s">
        <v>10310</v>
      </c>
      <c r="D3442" s="12" t="str">
        <f>"0022-0124"</f>
        <v>0022-0124</v>
      </c>
      <c r="E3442" s="5">
        <v>1.224</v>
      </c>
      <c r="F3442" s="5">
        <v>0.222</v>
      </c>
    </row>
    <row r="3443" spans="2:6" x14ac:dyDescent="0.2">
      <c r="B3443" s="9" t="s">
        <v>7335</v>
      </c>
      <c r="C3443" s="15" t="s">
        <v>3215</v>
      </c>
      <c r="D3443" s="12" t="str">
        <f>"0168-3659"</f>
        <v>0168-3659</v>
      </c>
      <c r="E3443" s="5">
        <v>9.7759999999999998</v>
      </c>
      <c r="F3443" s="5">
        <v>0.96699999999999997</v>
      </c>
    </row>
    <row r="3444" spans="2:6" x14ac:dyDescent="0.2">
      <c r="B3444" s="9" t="s">
        <v>10311</v>
      </c>
      <c r="C3444" s="15" t="s">
        <v>10311</v>
      </c>
      <c r="D3444" s="12" t="str">
        <f>"2473-4284"</f>
        <v>2473-4284</v>
      </c>
      <c r="E3444" s="5">
        <v>4.8529999999999998</v>
      </c>
      <c r="F3444" s="5">
        <v>0.61</v>
      </c>
    </row>
    <row r="3445" spans="2:6" x14ac:dyDescent="0.2">
      <c r="B3445" s="9" t="s">
        <v>10312</v>
      </c>
      <c r="C3445" s="15" t="s">
        <v>10313</v>
      </c>
      <c r="D3445" s="12" t="str">
        <f>"1078-3458"</f>
        <v>1078-3458</v>
      </c>
      <c r="E3445" s="5">
        <v>1.169</v>
      </c>
      <c r="F3445" s="5">
        <v>9.9000000000000005E-2</v>
      </c>
    </row>
    <row r="3446" spans="2:6" x14ac:dyDescent="0.2">
      <c r="B3446" s="9" t="s">
        <v>10314</v>
      </c>
      <c r="C3446" s="15" t="s">
        <v>10315</v>
      </c>
      <c r="D3446" s="12" t="str">
        <f>"1473-2130"</f>
        <v>1473-2130</v>
      </c>
      <c r="E3446" s="5">
        <v>2.6960000000000002</v>
      </c>
      <c r="F3446" s="5">
        <v>0.441</v>
      </c>
    </row>
    <row r="3447" spans="2:6" x14ac:dyDescent="0.2">
      <c r="B3447" s="9" t="s">
        <v>10316</v>
      </c>
      <c r="C3447" s="15" t="s">
        <v>10317</v>
      </c>
      <c r="D3447" s="12" t="str">
        <f>"1476-4172"</f>
        <v>1476-4172</v>
      </c>
      <c r="E3447" s="5">
        <v>2.2469999999999999</v>
      </c>
      <c r="F3447" s="5">
        <v>0.45200000000000001</v>
      </c>
    </row>
    <row r="3448" spans="2:6" x14ac:dyDescent="0.2">
      <c r="B3448" s="9" t="s">
        <v>7336</v>
      </c>
      <c r="C3448" s="15" t="s">
        <v>3216</v>
      </c>
      <c r="D3448" s="12" t="str">
        <f>"1525-7886"</f>
        <v>1525-7886</v>
      </c>
      <c r="E3448" s="5">
        <v>0.94799999999999995</v>
      </c>
      <c r="F3448" s="5">
        <v>0.20300000000000001</v>
      </c>
    </row>
    <row r="3449" spans="2:6" x14ac:dyDescent="0.2">
      <c r="B3449" s="9" t="s">
        <v>1631</v>
      </c>
      <c r="C3449" s="15" t="s">
        <v>1632</v>
      </c>
      <c r="D3449" s="12" t="str">
        <f>"0748-9633"</f>
        <v>0748-9633</v>
      </c>
      <c r="E3449" s="5">
        <v>2.0630000000000002</v>
      </c>
      <c r="F3449" s="5">
        <v>0.30099999999999999</v>
      </c>
    </row>
    <row r="3450" spans="2:6" x14ac:dyDescent="0.2">
      <c r="B3450" s="9" t="s">
        <v>1633</v>
      </c>
      <c r="C3450" s="15" t="s">
        <v>1634</v>
      </c>
      <c r="D3450" s="12" t="str">
        <f>"0022-0167"</f>
        <v>0022-0167</v>
      </c>
      <c r="E3450" s="5">
        <v>4.6849999999999996</v>
      </c>
      <c r="F3450" s="5">
        <v>0.9</v>
      </c>
    </row>
    <row r="3451" spans="2:6" x14ac:dyDescent="0.2">
      <c r="B3451" s="9" t="s">
        <v>609</v>
      </c>
      <c r="C3451" s="15" t="s">
        <v>610</v>
      </c>
      <c r="D3451" s="12" t="str">
        <f>"1022-386X"</f>
        <v>1022-386X</v>
      </c>
      <c r="E3451" s="5">
        <v>0.71099999999999997</v>
      </c>
      <c r="F3451" s="5">
        <v>0.114</v>
      </c>
    </row>
    <row r="3452" spans="2:6" x14ac:dyDescent="0.2">
      <c r="B3452" s="9" t="s">
        <v>7338</v>
      </c>
      <c r="C3452" s="15" t="s">
        <v>3218</v>
      </c>
      <c r="D3452" s="12" t="str">
        <f>"1049-2275"</f>
        <v>1049-2275</v>
      </c>
      <c r="E3452" s="5">
        <v>1.046</v>
      </c>
      <c r="F3452" s="5">
        <v>0.11</v>
      </c>
    </row>
    <row r="3453" spans="2:6" x14ac:dyDescent="0.2">
      <c r="B3453" s="9" t="s">
        <v>7337</v>
      </c>
      <c r="C3453" s="15" t="s">
        <v>3217</v>
      </c>
      <c r="D3453" s="12" t="str">
        <f>"1010-5182"</f>
        <v>1010-5182</v>
      </c>
      <c r="E3453" s="5">
        <v>2.0779999999999998</v>
      </c>
      <c r="F3453" s="5">
        <v>0.39500000000000002</v>
      </c>
    </row>
    <row r="3454" spans="2:6" x14ac:dyDescent="0.2">
      <c r="B3454" s="9" t="s">
        <v>7339</v>
      </c>
      <c r="C3454" s="15" t="s">
        <v>3219</v>
      </c>
      <c r="D3454" s="12" t="str">
        <f>"0883-9441"</f>
        <v>0883-9441</v>
      </c>
      <c r="E3454" s="5">
        <v>3.4249999999999998</v>
      </c>
      <c r="F3454" s="5">
        <v>0.52800000000000002</v>
      </c>
    </row>
    <row r="3455" spans="2:6" x14ac:dyDescent="0.2">
      <c r="B3455" s="9" t="s">
        <v>7693</v>
      </c>
      <c r="C3455" s="15" t="s">
        <v>3608</v>
      </c>
      <c r="D3455" s="12" t="str">
        <f>"1076-1608"</f>
        <v>1076-1608</v>
      </c>
      <c r="E3455" s="5">
        <v>3.5169999999999999</v>
      </c>
      <c r="F3455" s="5">
        <v>0.441</v>
      </c>
    </row>
    <row r="3456" spans="2:6" x14ac:dyDescent="0.2">
      <c r="B3456" s="9" t="s">
        <v>1635</v>
      </c>
      <c r="C3456" s="15" t="s">
        <v>1636</v>
      </c>
      <c r="D3456" s="12" t="str">
        <f>"1873-9946"</f>
        <v>1873-9946</v>
      </c>
      <c r="E3456" s="5">
        <v>9.0709999999999997</v>
      </c>
      <c r="F3456" s="5">
        <v>0.85899999999999999</v>
      </c>
    </row>
    <row r="3457" spans="2:6" x14ac:dyDescent="0.2">
      <c r="B3457" s="9" t="s">
        <v>1637</v>
      </c>
      <c r="C3457" s="15" t="s">
        <v>1638</v>
      </c>
      <c r="D3457" s="12" t="str">
        <f>"0022-0221"</f>
        <v>0022-0221</v>
      </c>
      <c r="E3457" s="5">
        <v>2.6179999999999999</v>
      </c>
      <c r="F3457" s="5">
        <v>0.46899999999999997</v>
      </c>
    </row>
    <row r="3458" spans="2:6" x14ac:dyDescent="0.2">
      <c r="B3458" s="9" t="s">
        <v>1639</v>
      </c>
      <c r="C3458" s="15" t="s">
        <v>1640</v>
      </c>
      <c r="D3458" s="12" t="str">
        <f>"1296-2074"</f>
        <v>1296-2074</v>
      </c>
      <c r="E3458" s="5">
        <v>2.9550000000000001</v>
      </c>
      <c r="F3458" s="5">
        <v>0.74399999999999999</v>
      </c>
    </row>
    <row r="3459" spans="2:6" x14ac:dyDescent="0.2">
      <c r="B3459" s="9" t="s">
        <v>7340</v>
      </c>
      <c r="C3459" s="15" t="s">
        <v>3220</v>
      </c>
      <c r="D3459" s="12" t="str">
        <f>"1203-4754"</f>
        <v>1203-4754</v>
      </c>
      <c r="E3459" s="5">
        <v>2.0920000000000001</v>
      </c>
      <c r="F3459" s="5">
        <v>0.33800000000000002</v>
      </c>
    </row>
    <row r="3460" spans="2:6" x14ac:dyDescent="0.2">
      <c r="B3460" s="9" t="s">
        <v>7341</v>
      </c>
      <c r="C3460" s="15" t="s">
        <v>3221</v>
      </c>
      <c r="D3460" s="12" t="str">
        <f>"0303-6987"</f>
        <v>0303-6987</v>
      </c>
      <c r="E3460" s="5">
        <v>1.587</v>
      </c>
      <c r="F3460" s="5">
        <v>0.23400000000000001</v>
      </c>
    </row>
    <row r="3461" spans="2:6" x14ac:dyDescent="0.2">
      <c r="B3461" s="9" t="s">
        <v>1641</v>
      </c>
      <c r="C3461" s="15" t="s">
        <v>1642</v>
      </c>
      <c r="D3461" s="12" t="str">
        <f>"1569-1993"</f>
        <v>1569-1993</v>
      </c>
      <c r="E3461" s="5">
        <v>5.4820000000000002</v>
      </c>
      <c r="F3461" s="5">
        <v>0.78100000000000003</v>
      </c>
    </row>
    <row r="3462" spans="2:6" x14ac:dyDescent="0.2">
      <c r="B3462" s="9" t="s">
        <v>10318</v>
      </c>
      <c r="C3462" s="15" t="s">
        <v>10319</v>
      </c>
      <c r="D3462" s="12" t="str">
        <f>"0970-9371"</f>
        <v>0970-9371</v>
      </c>
      <c r="E3462" s="5">
        <v>1</v>
      </c>
      <c r="F3462" s="5">
        <v>0.13800000000000001</v>
      </c>
    </row>
    <row r="3463" spans="2:6" x14ac:dyDescent="0.2">
      <c r="B3463" s="9" t="s">
        <v>1643</v>
      </c>
      <c r="C3463" s="15" t="s">
        <v>1644</v>
      </c>
      <c r="D3463" s="12" t="str">
        <f>"1081-4159"</f>
        <v>1081-4159</v>
      </c>
      <c r="E3463" s="5">
        <v>1.7629999999999999</v>
      </c>
      <c r="F3463" s="5">
        <v>0.34100000000000003</v>
      </c>
    </row>
    <row r="3464" spans="2:6" x14ac:dyDescent="0.2">
      <c r="B3464" s="9" t="s">
        <v>10320</v>
      </c>
      <c r="C3464" s="15" t="s">
        <v>10321</v>
      </c>
      <c r="D3464" s="12" t="str">
        <f>"2054-0892"</f>
        <v>2054-0892</v>
      </c>
      <c r="E3464" s="5">
        <v>0.92300000000000004</v>
      </c>
      <c r="F3464" s="5">
        <v>0.17199999999999999</v>
      </c>
    </row>
    <row r="3465" spans="2:6" x14ac:dyDescent="0.2">
      <c r="B3465" s="9" t="s">
        <v>7342</v>
      </c>
      <c r="C3465" s="15" t="s">
        <v>3222</v>
      </c>
      <c r="D3465" s="12" t="str">
        <f>"0300-5712"</f>
        <v>0300-5712</v>
      </c>
      <c r="E3465" s="5">
        <v>4.3789999999999996</v>
      </c>
      <c r="F3465" s="5">
        <v>0.85699999999999998</v>
      </c>
    </row>
    <row r="3466" spans="2:6" x14ac:dyDescent="0.2">
      <c r="B3466" s="9" t="s">
        <v>1645</v>
      </c>
      <c r="C3466" s="15" t="s">
        <v>1646</v>
      </c>
      <c r="D3466" s="12" t="str">
        <f>"0022-0337"</f>
        <v>0022-0337</v>
      </c>
      <c r="E3466" s="5">
        <v>2.2639999999999998</v>
      </c>
      <c r="F3466" s="5">
        <v>0.40699999999999997</v>
      </c>
    </row>
    <row r="3467" spans="2:6" x14ac:dyDescent="0.2">
      <c r="B3467" s="9" t="s">
        <v>7343</v>
      </c>
      <c r="C3467" s="15" t="s">
        <v>3223</v>
      </c>
      <c r="D3467" s="12" t="str">
        <f>"0022-0345"</f>
        <v>0022-0345</v>
      </c>
      <c r="E3467" s="5">
        <v>6.1159999999999997</v>
      </c>
      <c r="F3467" s="5">
        <v>0.95599999999999996</v>
      </c>
    </row>
    <row r="3468" spans="2:6" x14ac:dyDescent="0.2">
      <c r="B3468" s="9" t="s">
        <v>1647</v>
      </c>
      <c r="C3468" s="15" t="s">
        <v>1648</v>
      </c>
      <c r="D3468" s="12" t="str">
        <f>"1991-7902"</f>
        <v>1991-7902</v>
      </c>
      <c r="E3468" s="5">
        <v>2.08</v>
      </c>
      <c r="F3468" s="5">
        <v>0.36299999999999999</v>
      </c>
    </row>
    <row r="3469" spans="2:6" x14ac:dyDescent="0.2">
      <c r="B3469" s="9" t="s">
        <v>7344</v>
      </c>
      <c r="C3469" s="15" t="s">
        <v>3224</v>
      </c>
      <c r="D3469" s="12" t="str">
        <f>"0385-2407"</f>
        <v>0385-2407</v>
      </c>
      <c r="E3469" s="5">
        <v>4.0049999999999999</v>
      </c>
      <c r="F3469" s="5">
        <v>0.75</v>
      </c>
    </row>
    <row r="3470" spans="2:6" x14ac:dyDescent="0.2">
      <c r="B3470" s="9" t="s">
        <v>7345</v>
      </c>
      <c r="C3470" s="15" t="s">
        <v>3225</v>
      </c>
      <c r="D3470" s="12" t="str">
        <f>"0923-1811"</f>
        <v>0923-1811</v>
      </c>
      <c r="E3470" s="5">
        <v>4.5629999999999997</v>
      </c>
      <c r="F3470" s="5">
        <v>0.80900000000000005</v>
      </c>
    </row>
    <row r="3471" spans="2:6" x14ac:dyDescent="0.2">
      <c r="B3471" s="9" t="s">
        <v>1649</v>
      </c>
      <c r="C3471" s="15" t="s">
        <v>1650</v>
      </c>
      <c r="D3471" s="12" t="str">
        <f>"0954-6634"</f>
        <v>0954-6634</v>
      </c>
      <c r="E3471" s="5">
        <v>3.359</v>
      </c>
      <c r="F3471" s="5">
        <v>0.61799999999999999</v>
      </c>
    </row>
    <row r="3472" spans="2:6" x14ac:dyDescent="0.2">
      <c r="B3472" s="9" t="s">
        <v>7346</v>
      </c>
      <c r="C3472" s="15" t="s">
        <v>3226</v>
      </c>
      <c r="D3472" s="12" t="str">
        <f>"0196-206X"</f>
        <v>0196-206X</v>
      </c>
      <c r="E3472" s="5">
        <v>2.2250000000000001</v>
      </c>
      <c r="F3472" s="5">
        <v>0.51900000000000002</v>
      </c>
    </row>
    <row r="3473" spans="2:6" x14ac:dyDescent="0.2">
      <c r="B3473" s="9" t="s">
        <v>10322</v>
      </c>
      <c r="C3473" s="15" t="s">
        <v>10323</v>
      </c>
      <c r="D3473" s="12" t="str">
        <f>"2040-1744"</f>
        <v>2040-1744</v>
      </c>
      <c r="E3473" s="5">
        <v>2.4009999999999998</v>
      </c>
      <c r="F3473" s="5">
        <v>0.47099999999999997</v>
      </c>
    </row>
    <row r="3474" spans="2:6" x14ac:dyDescent="0.2">
      <c r="B3474" s="9" t="s">
        <v>1651</v>
      </c>
      <c r="C3474" s="15" t="s">
        <v>1652</v>
      </c>
      <c r="D3474" s="12" t="str">
        <f>"1056-263X"</f>
        <v>1056-263X</v>
      </c>
      <c r="E3474" s="5">
        <v>1.71</v>
      </c>
      <c r="F3474" s="5">
        <v>0.318</v>
      </c>
    </row>
    <row r="3475" spans="2:6" x14ac:dyDescent="0.2">
      <c r="B3475" s="9" t="s">
        <v>10324</v>
      </c>
      <c r="C3475" s="15" t="s">
        <v>10325</v>
      </c>
      <c r="D3475" s="12" t="str">
        <f>"1753-0393"</f>
        <v>1753-0393</v>
      </c>
      <c r="E3475" s="5">
        <v>4.0060000000000002</v>
      </c>
      <c r="F3475" s="5">
        <v>0.497</v>
      </c>
    </row>
    <row r="3476" spans="2:6" x14ac:dyDescent="0.2">
      <c r="B3476" s="9" t="s">
        <v>7347</v>
      </c>
      <c r="C3476" s="15" t="s">
        <v>3227</v>
      </c>
      <c r="D3476" s="12" t="str">
        <f>"1056-8727"</f>
        <v>1056-8727</v>
      </c>
      <c r="E3476" s="5">
        <v>2.8519999999999999</v>
      </c>
      <c r="F3476" s="5">
        <v>0.26900000000000002</v>
      </c>
    </row>
    <row r="3477" spans="2:6" x14ac:dyDescent="0.2">
      <c r="B3477" s="9" t="s">
        <v>10326</v>
      </c>
      <c r="C3477" s="15" t="s">
        <v>10327</v>
      </c>
      <c r="D3477" s="12" t="str">
        <f>"2040-1116"</f>
        <v>2040-1116</v>
      </c>
      <c r="E3477" s="5">
        <v>4.2320000000000002</v>
      </c>
      <c r="F3477" s="5">
        <v>0.56599999999999995</v>
      </c>
    </row>
    <row r="3478" spans="2:6" x14ac:dyDescent="0.2">
      <c r="B3478" s="9" t="s">
        <v>10328</v>
      </c>
      <c r="C3478" s="15" t="s">
        <v>10329</v>
      </c>
      <c r="D3478" s="12" t="str">
        <f>"2314-6745"</f>
        <v>2314-6745</v>
      </c>
      <c r="E3478" s="5">
        <v>4.0110000000000001</v>
      </c>
      <c r="F3478" s="5">
        <v>0.51</v>
      </c>
    </row>
    <row r="3479" spans="2:6" x14ac:dyDescent="0.2">
      <c r="B3479" s="9" t="s">
        <v>1653</v>
      </c>
      <c r="C3479" s="15" t="s">
        <v>1654</v>
      </c>
      <c r="D3479" s="12" t="str">
        <f>"1751-2972"</f>
        <v>1751-2972</v>
      </c>
      <c r="E3479" s="5">
        <v>2.3250000000000002</v>
      </c>
      <c r="F3479" s="5">
        <v>0.13</v>
      </c>
    </row>
    <row r="3480" spans="2:6" x14ac:dyDescent="0.2">
      <c r="B3480" s="9" t="s">
        <v>7348</v>
      </c>
      <c r="C3480" s="15" t="s">
        <v>3228</v>
      </c>
      <c r="D3480" s="12" t="str">
        <f>"0897-1889"</f>
        <v>0897-1889</v>
      </c>
      <c r="E3480" s="5">
        <v>4.056</v>
      </c>
      <c r="F3480" s="5">
        <v>0.75900000000000001</v>
      </c>
    </row>
    <row r="3481" spans="2:6" x14ac:dyDescent="0.2">
      <c r="B3481" s="9" t="s">
        <v>10330</v>
      </c>
      <c r="C3481" s="15" t="s">
        <v>10331</v>
      </c>
      <c r="D3481" s="12" t="str">
        <f>"1044-2073"</f>
        <v>1044-2073</v>
      </c>
      <c r="E3481" s="5">
        <v>1.696</v>
      </c>
      <c r="F3481" s="5">
        <v>0.26900000000000002</v>
      </c>
    </row>
    <row r="3482" spans="2:6" x14ac:dyDescent="0.2">
      <c r="B3482" s="9" t="s">
        <v>10332</v>
      </c>
      <c r="C3482" s="15" t="s">
        <v>10333</v>
      </c>
      <c r="D3482" s="12" t="str">
        <f>"1938-8926"</f>
        <v>1938-8926</v>
      </c>
      <c r="E3482" s="5">
        <v>2.7029999999999998</v>
      </c>
      <c r="F3482" s="5">
        <v>0.629</v>
      </c>
    </row>
    <row r="3483" spans="2:6" x14ac:dyDescent="0.2">
      <c r="B3483" s="9" t="s">
        <v>1655</v>
      </c>
      <c r="C3483" s="15" t="s">
        <v>1656</v>
      </c>
      <c r="D3483" s="12" t="str">
        <f>"0022-0418"</f>
        <v>0022-0418</v>
      </c>
      <c r="E3483" s="5">
        <v>1.819</v>
      </c>
      <c r="F3483" s="5">
        <v>0.41199999999999998</v>
      </c>
    </row>
    <row r="3484" spans="2:6" x14ac:dyDescent="0.2">
      <c r="B3484" s="9" t="s">
        <v>7349</v>
      </c>
      <c r="C3484" s="15" t="s">
        <v>3229</v>
      </c>
      <c r="D3484" s="12" t="str">
        <f>"1773-2247"</f>
        <v>1773-2247</v>
      </c>
      <c r="E3484" s="5">
        <v>3.9809999999999999</v>
      </c>
      <c r="F3484" s="5">
        <v>0.59599999999999997</v>
      </c>
    </row>
    <row r="3485" spans="2:6" x14ac:dyDescent="0.2">
      <c r="B3485" s="9" t="s">
        <v>1657</v>
      </c>
      <c r="C3485" s="15" t="s">
        <v>1658</v>
      </c>
      <c r="D3485" s="12" t="str">
        <f>"0022-0426"</f>
        <v>0022-0426</v>
      </c>
      <c r="E3485" s="5">
        <v>1.4890000000000001</v>
      </c>
      <c r="F3485" s="5">
        <v>0.122</v>
      </c>
    </row>
    <row r="3486" spans="2:6" x14ac:dyDescent="0.2">
      <c r="B3486" s="9" t="s">
        <v>10334</v>
      </c>
      <c r="C3486" s="15" t="s">
        <v>10335</v>
      </c>
      <c r="D3486" s="12" t="str">
        <f>"1545-9616"</f>
        <v>1545-9616</v>
      </c>
      <c r="E3486" s="5">
        <v>2.1139999999999999</v>
      </c>
      <c r="F3486" s="5">
        <v>0.35299999999999998</v>
      </c>
    </row>
    <row r="3487" spans="2:6" x14ac:dyDescent="0.2">
      <c r="B3487" s="9" t="s">
        <v>7350</v>
      </c>
      <c r="C3487" s="15" t="s">
        <v>3230</v>
      </c>
      <c r="D3487" s="12" t="str">
        <f>"1061-186X"</f>
        <v>1061-186X</v>
      </c>
      <c r="E3487" s="5">
        <v>5.1210000000000004</v>
      </c>
      <c r="F3487" s="5">
        <v>0.78900000000000003</v>
      </c>
    </row>
    <row r="3488" spans="2:6" x14ac:dyDescent="0.2">
      <c r="B3488" s="9" t="s">
        <v>10336</v>
      </c>
      <c r="C3488" s="15" t="s">
        <v>10337</v>
      </c>
      <c r="D3488" s="12" t="str">
        <f>"1610-0379"</f>
        <v>1610-0379</v>
      </c>
      <c r="E3488" s="5">
        <v>5.5839999999999996</v>
      </c>
      <c r="F3488" s="5">
        <v>0.89700000000000002</v>
      </c>
    </row>
    <row r="3489" spans="2:6" x14ac:dyDescent="0.2">
      <c r="B3489" s="9" t="s">
        <v>10338</v>
      </c>
      <c r="C3489" s="15" t="s">
        <v>10339</v>
      </c>
      <c r="D3489" s="12" t="str">
        <f>"1550-4271"</f>
        <v>1550-4271</v>
      </c>
      <c r="E3489" s="5">
        <v>1.613</v>
      </c>
      <c r="F3489" s="5">
        <v>0.254</v>
      </c>
    </row>
    <row r="3490" spans="2:6" x14ac:dyDescent="0.2">
      <c r="B3490" s="9" t="s">
        <v>1659</v>
      </c>
      <c r="C3490" s="15" t="s">
        <v>1660</v>
      </c>
      <c r="D3490" s="12" t="str">
        <f>"0272-4316"</f>
        <v>0272-4316</v>
      </c>
      <c r="E3490" s="5">
        <v>2.7709999999999999</v>
      </c>
      <c r="F3490" s="5">
        <v>0.67400000000000004</v>
      </c>
    </row>
    <row r="3491" spans="2:6" x14ac:dyDescent="0.2">
      <c r="B3491" s="9" t="s">
        <v>1661</v>
      </c>
      <c r="C3491" s="15" t="s">
        <v>1662</v>
      </c>
      <c r="D3491" s="12" t="str">
        <f>"1053-8151"</f>
        <v>1053-8151</v>
      </c>
      <c r="E3491" s="5">
        <v>2.0230000000000001</v>
      </c>
      <c r="F3491" s="5">
        <v>0.47699999999999998</v>
      </c>
    </row>
    <row r="3492" spans="2:6" x14ac:dyDescent="0.2">
      <c r="B3492" s="9" t="s">
        <v>10340</v>
      </c>
      <c r="C3492" s="15" t="s">
        <v>10341</v>
      </c>
      <c r="D3492" s="12" t="str">
        <f>"1753-1055"</f>
        <v>1753-1055</v>
      </c>
      <c r="E3492" s="5">
        <v>1.62</v>
      </c>
      <c r="F3492" s="5">
        <v>0.7</v>
      </c>
    </row>
    <row r="3493" spans="2:6" x14ac:dyDescent="0.2">
      <c r="B3493" s="9" t="s">
        <v>10342</v>
      </c>
      <c r="C3493" s="15" t="s">
        <v>10343</v>
      </c>
      <c r="D3493" s="12" t="str">
        <f>"1598-2408"</f>
        <v>1598-2408</v>
      </c>
      <c r="E3493" s="5">
        <v>1.286</v>
      </c>
      <c r="F3493" s="5">
        <v>0.312</v>
      </c>
    </row>
    <row r="3494" spans="2:6" x14ac:dyDescent="0.2">
      <c r="B3494" s="9" t="s">
        <v>10344</v>
      </c>
      <c r="C3494" s="15" t="s">
        <v>10345</v>
      </c>
      <c r="D3494" s="12" t="str">
        <f>"2050-2974"</f>
        <v>2050-2974</v>
      </c>
      <c r="E3494" s="5">
        <v>4.0490000000000004</v>
      </c>
      <c r="F3494" s="5">
        <v>0.73799999999999999</v>
      </c>
    </row>
    <row r="3495" spans="2:6" x14ac:dyDescent="0.2">
      <c r="B3495" s="9" t="s">
        <v>10346</v>
      </c>
      <c r="C3495" s="15" t="s">
        <v>10347</v>
      </c>
      <c r="D3495" s="12" t="str">
        <f>"2212-828X"</f>
        <v>2212-828X</v>
      </c>
      <c r="E3495" s="5">
        <v>1.911</v>
      </c>
      <c r="F3495" s="5">
        <v>0.499</v>
      </c>
    </row>
    <row r="3496" spans="2:6" x14ac:dyDescent="0.2">
      <c r="B3496" s="9" t="s">
        <v>1663</v>
      </c>
      <c r="C3496" s="15" t="s">
        <v>1664</v>
      </c>
      <c r="D3496" s="12" t="str">
        <f>"0167-4870"</f>
        <v>0167-4870</v>
      </c>
      <c r="E3496" s="5">
        <v>2.0369999999999999</v>
      </c>
      <c r="F3496" s="5">
        <v>0.53300000000000003</v>
      </c>
    </row>
    <row r="3497" spans="2:6" x14ac:dyDescent="0.2">
      <c r="B3497" s="9" t="s">
        <v>7351</v>
      </c>
      <c r="C3497" s="15" t="s">
        <v>3231</v>
      </c>
      <c r="D3497" s="12" t="str">
        <f>"1095-0680"</f>
        <v>1095-0680</v>
      </c>
      <c r="E3497" s="5">
        <v>3.6349999999999998</v>
      </c>
      <c r="F3497" s="5">
        <v>0.81100000000000005</v>
      </c>
    </row>
    <row r="3498" spans="2:6" x14ac:dyDescent="0.2">
      <c r="B3498" s="9" t="s">
        <v>10348</v>
      </c>
      <c r="C3498" s="15" t="s">
        <v>10349</v>
      </c>
      <c r="D3498" s="12" t="str">
        <f>"1076-9986"</f>
        <v>1076-9986</v>
      </c>
      <c r="E3498" s="5">
        <v>3.2879999999999998</v>
      </c>
      <c r="F3498" s="5">
        <v>0.82699999999999996</v>
      </c>
    </row>
    <row r="3499" spans="2:6" x14ac:dyDescent="0.2">
      <c r="B3499" s="9" t="s">
        <v>1665</v>
      </c>
      <c r="C3499" s="15" t="s">
        <v>1666</v>
      </c>
      <c r="D3499" s="12" t="str">
        <f>"0022-0655"</f>
        <v>0022-0655</v>
      </c>
      <c r="E3499" s="5">
        <v>1.5309999999999999</v>
      </c>
      <c r="F3499" s="5">
        <v>0.22900000000000001</v>
      </c>
    </row>
    <row r="3500" spans="2:6" x14ac:dyDescent="0.2">
      <c r="B3500" s="9" t="s">
        <v>1667</v>
      </c>
      <c r="C3500" s="15" t="s">
        <v>1668</v>
      </c>
      <c r="D3500" s="12" t="str">
        <f>"0022-0663"</f>
        <v>0022-0663</v>
      </c>
      <c r="E3500" s="5">
        <v>5.8049999999999997</v>
      </c>
      <c r="F3500" s="5">
        <v>0.95</v>
      </c>
    </row>
    <row r="3501" spans="2:6" x14ac:dyDescent="0.2">
      <c r="B3501" s="9" t="s">
        <v>1669</v>
      </c>
      <c r="C3501" s="15" t="s">
        <v>1670</v>
      </c>
      <c r="D3501" s="12" t="str">
        <f>"1047-4412"</f>
        <v>1047-4412</v>
      </c>
      <c r="E3501" s="5">
        <v>1.7110000000000001</v>
      </c>
      <c r="F3501" s="5">
        <v>0.26700000000000002</v>
      </c>
    </row>
    <row r="3502" spans="2:6" x14ac:dyDescent="0.2">
      <c r="B3502" s="9" t="s">
        <v>7352</v>
      </c>
      <c r="C3502" s="15" t="s">
        <v>3232</v>
      </c>
      <c r="D3502" s="12" t="str">
        <f>"1572-6657"</f>
        <v>1572-6657</v>
      </c>
      <c r="E3502" s="5">
        <v>4.4640000000000004</v>
      </c>
      <c r="F3502" s="5">
        <v>0.77100000000000002</v>
      </c>
    </row>
    <row r="3503" spans="2:6" x14ac:dyDescent="0.2">
      <c r="B3503" s="9" t="s">
        <v>7353</v>
      </c>
      <c r="C3503" s="15" t="s">
        <v>3233</v>
      </c>
      <c r="D3503" s="12" t="str">
        <f>"1532-8430"</f>
        <v>1532-8430</v>
      </c>
      <c r="E3503" s="5">
        <v>1.4379999999999999</v>
      </c>
      <c r="F3503" s="5">
        <v>6.4000000000000001E-2</v>
      </c>
    </row>
    <row r="3504" spans="2:6" x14ac:dyDescent="0.2">
      <c r="B3504" s="9" t="s">
        <v>7354</v>
      </c>
      <c r="C3504" s="15" t="s">
        <v>3234</v>
      </c>
      <c r="D3504" s="12" t="str">
        <f>"1050-6411"</f>
        <v>1050-6411</v>
      </c>
      <c r="E3504" s="5">
        <v>2.3679999999999999</v>
      </c>
      <c r="F3504" s="5">
        <v>0.59699999999999998</v>
      </c>
    </row>
    <row r="3505" spans="2:6" x14ac:dyDescent="0.2">
      <c r="B3505" s="9" t="s">
        <v>7355</v>
      </c>
      <c r="C3505" s="15" t="s">
        <v>3235</v>
      </c>
      <c r="D3505" s="12" t="str">
        <f>"1017-9909"</f>
        <v>1017-9909</v>
      </c>
      <c r="E3505" s="5">
        <v>0.94499999999999995</v>
      </c>
      <c r="F3505" s="5">
        <v>0.14099999999999999</v>
      </c>
    </row>
    <row r="3506" spans="2:6" x14ac:dyDescent="0.2">
      <c r="B3506" s="9" t="s">
        <v>7356</v>
      </c>
      <c r="C3506" s="15" t="s">
        <v>3236</v>
      </c>
      <c r="D3506" s="12" t="str">
        <f>"1043-7398"</f>
        <v>1043-7398</v>
      </c>
      <c r="E3506" s="5">
        <v>1.843</v>
      </c>
      <c r="F3506" s="5">
        <v>0.36099999999999999</v>
      </c>
    </row>
    <row r="3507" spans="2:6" x14ac:dyDescent="0.2">
      <c r="B3507" s="9" t="s">
        <v>7357</v>
      </c>
      <c r="C3507" s="15" t="s">
        <v>3237</v>
      </c>
      <c r="D3507" s="12" t="str">
        <f>"0736-4679"</f>
        <v>0736-4679</v>
      </c>
      <c r="E3507" s="5">
        <v>1.484</v>
      </c>
      <c r="F3507" s="5">
        <v>0.34399999999999997</v>
      </c>
    </row>
    <row r="3508" spans="2:6" x14ac:dyDescent="0.2">
      <c r="B3508" s="9" t="s">
        <v>1671</v>
      </c>
      <c r="C3508" s="15" t="s">
        <v>1672</v>
      </c>
      <c r="D3508" s="12" t="str">
        <f>"0099-1767"</f>
        <v>0099-1767</v>
      </c>
      <c r="E3508" s="5">
        <v>1.8360000000000001</v>
      </c>
      <c r="F3508" s="5">
        <v>0.47599999999999998</v>
      </c>
    </row>
    <row r="3509" spans="2:6" x14ac:dyDescent="0.2">
      <c r="B3509" s="9" t="s">
        <v>1673</v>
      </c>
      <c r="C3509" s="15" t="s">
        <v>1674</v>
      </c>
      <c r="D3509" s="12" t="str">
        <f>"1063-4266"</f>
        <v>1063-4266</v>
      </c>
      <c r="E3509" s="5">
        <v>2.524</v>
      </c>
      <c r="F3509" s="5">
        <v>0.70499999999999996</v>
      </c>
    </row>
    <row r="3510" spans="2:6" x14ac:dyDescent="0.2">
      <c r="B3510" s="9" t="s">
        <v>1675</v>
      </c>
      <c r="C3510" s="15" t="s">
        <v>1676</v>
      </c>
      <c r="D3510" s="12" t="str">
        <f>"1556-2646"</f>
        <v>1556-2646</v>
      </c>
      <c r="E3510" s="5">
        <v>1.742</v>
      </c>
      <c r="F3510" s="5">
        <v>0.53600000000000003</v>
      </c>
    </row>
    <row r="3511" spans="2:6" x14ac:dyDescent="0.2">
      <c r="B3511" s="9" t="s">
        <v>1677</v>
      </c>
      <c r="C3511" s="15" t="s">
        <v>1678</v>
      </c>
      <c r="D3511" s="12" t="str">
        <f>"0022-0787"</f>
        <v>0022-0787</v>
      </c>
      <c r="E3511" s="5">
        <v>1.407</v>
      </c>
      <c r="F3511" s="5">
        <v>0.157</v>
      </c>
    </row>
    <row r="3512" spans="2:6" x14ac:dyDescent="0.2">
      <c r="B3512" s="9" t="s">
        <v>7358</v>
      </c>
      <c r="C3512" s="15" t="s">
        <v>3238</v>
      </c>
      <c r="D3512" s="12" t="str">
        <f>"0022-0795"</f>
        <v>0022-0795</v>
      </c>
      <c r="E3512" s="5">
        <v>4.2859999999999996</v>
      </c>
      <c r="F3512" s="5">
        <v>0.58599999999999997</v>
      </c>
    </row>
    <row r="3513" spans="2:6" x14ac:dyDescent="0.2">
      <c r="B3513" s="9" t="s">
        <v>7359</v>
      </c>
      <c r="C3513" s="15" t="s">
        <v>3239</v>
      </c>
      <c r="D3513" s="12" t="str">
        <f>"0391-4097"</f>
        <v>0391-4097</v>
      </c>
      <c r="E3513" s="5">
        <v>4.2560000000000002</v>
      </c>
      <c r="F3513" s="5">
        <v>0.57199999999999995</v>
      </c>
    </row>
    <row r="3514" spans="2:6" x14ac:dyDescent="0.2">
      <c r="B3514" s="9" t="s">
        <v>7360</v>
      </c>
      <c r="C3514" s="15" t="s">
        <v>3240</v>
      </c>
      <c r="D3514" s="12" t="str">
        <f>"0099-2399"</f>
        <v>0099-2399</v>
      </c>
      <c r="E3514" s="5">
        <v>4.1710000000000003</v>
      </c>
      <c r="F3514" s="5">
        <v>0.83499999999999996</v>
      </c>
    </row>
    <row r="3515" spans="2:6" x14ac:dyDescent="0.2">
      <c r="B3515" s="9" t="s">
        <v>7361</v>
      </c>
      <c r="C3515" s="15" t="s">
        <v>3241</v>
      </c>
      <c r="D3515" s="12" t="str">
        <f>"0892-7790"</f>
        <v>0892-7790</v>
      </c>
      <c r="E3515" s="5">
        <v>2.9420000000000002</v>
      </c>
      <c r="F3515" s="5">
        <v>0.53900000000000003</v>
      </c>
    </row>
    <row r="3516" spans="2:6" x14ac:dyDescent="0.2">
      <c r="B3516" s="9" t="s">
        <v>7362</v>
      </c>
      <c r="C3516" s="15" t="s">
        <v>3242</v>
      </c>
      <c r="D3516" s="12" t="str">
        <f>"1526-6028"</f>
        <v>1526-6028</v>
      </c>
      <c r="E3516" s="5">
        <v>3.4870000000000001</v>
      </c>
      <c r="F3516" s="5">
        <v>0.72899999999999998</v>
      </c>
    </row>
    <row r="3517" spans="2:6" x14ac:dyDescent="0.2">
      <c r="B3517" s="9" t="s">
        <v>7363</v>
      </c>
      <c r="C3517" s="15" t="s">
        <v>3243</v>
      </c>
      <c r="D3517" s="12" t="str">
        <f>"1069-4730"</f>
        <v>1069-4730</v>
      </c>
      <c r="E3517" s="5">
        <v>3.1459999999999999</v>
      </c>
      <c r="F3517" s="5">
        <v>0.76700000000000002</v>
      </c>
    </row>
    <row r="3518" spans="2:6" ht="25.5" x14ac:dyDescent="0.2">
      <c r="B3518" s="9" t="s">
        <v>7364</v>
      </c>
      <c r="C3518" s="15" t="s">
        <v>3244</v>
      </c>
      <c r="D3518" s="12" t="str">
        <f>"0742-4795"</f>
        <v>0742-4795</v>
      </c>
      <c r="E3518" s="5">
        <v>1.2090000000000001</v>
      </c>
      <c r="F3518" s="5">
        <v>0.16500000000000001</v>
      </c>
    </row>
    <row r="3519" spans="2:6" ht="25.5" x14ac:dyDescent="0.2">
      <c r="B3519" s="9" t="s">
        <v>7365</v>
      </c>
      <c r="C3519" s="15" t="s">
        <v>3245</v>
      </c>
      <c r="D3519" s="12" t="str">
        <f>"0094-4289"</f>
        <v>0094-4289</v>
      </c>
      <c r="E3519" s="5">
        <v>1.419</v>
      </c>
      <c r="F3519" s="5">
        <v>0.22600000000000001</v>
      </c>
    </row>
    <row r="3520" spans="2:6" x14ac:dyDescent="0.2">
      <c r="B3520" s="9" t="s">
        <v>10350</v>
      </c>
      <c r="C3520" s="15" t="s">
        <v>10351</v>
      </c>
      <c r="D3520" s="12" t="str">
        <f>"0733-9399"</f>
        <v>0733-9399</v>
      </c>
      <c r="E3520" s="5">
        <v>2.62</v>
      </c>
      <c r="F3520" s="5">
        <v>0.59399999999999997</v>
      </c>
    </row>
    <row r="3521" spans="2:6" x14ac:dyDescent="0.2">
      <c r="B3521" s="9" t="s">
        <v>10352</v>
      </c>
      <c r="C3521" s="15" t="s">
        <v>10353</v>
      </c>
      <c r="D3521" s="12" t="str">
        <f>"1810-2328"</f>
        <v>1810-2328</v>
      </c>
      <c r="E3521" s="5">
        <v>1.4019999999999999</v>
      </c>
      <c r="F3521" s="5">
        <v>0.218</v>
      </c>
    </row>
    <row r="3522" spans="2:6" x14ac:dyDescent="0.2">
      <c r="B3522" s="9" t="s">
        <v>10354</v>
      </c>
      <c r="C3522" s="15" t="s">
        <v>10355</v>
      </c>
      <c r="D3522" s="12" t="str">
        <f>"1741-0398"</f>
        <v>1741-0398</v>
      </c>
      <c r="E3522" s="5">
        <v>5.3959999999999999</v>
      </c>
      <c r="F3522" s="5">
        <v>0.84699999999999998</v>
      </c>
    </row>
    <row r="3523" spans="2:6" x14ac:dyDescent="0.2">
      <c r="B3523" s="9" t="s">
        <v>7366</v>
      </c>
      <c r="C3523" s="15" t="s">
        <v>3246</v>
      </c>
      <c r="D3523" s="12" t="str">
        <f>"0022-0892"</f>
        <v>0022-0892</v>
      </c>
      <c r="E3523" s="5">
        <v>1.179</v>
      </c>
      <c r="F3523" s="5">
        <v>0.10199999999999999</v>
      </c>
    </row>
    <row r="3524" spans="2:6" x14ac:dyDescent="0.2">
      <c r="B3524" s="9" t="s">
        <v>7367</v>
      </c>
      <c r="C3524" s="15" t="s">
        <v>3247</v>
      </c>
      <c r="D3524" s="12" t="str">
        <f>"0731-8898"</f>
        <v>0731-8898</v>
      </c>
      <c r="E3524" s="5">
        <v>3.5670000000000002</v>
      </c>
      <c r="F3524" s="5">
        <v>0.56999999999999995</v>
      </c>
    </row>
    <row r="3525" spans="2:6" x14ac:dyDescent="0.2">
      <c r="B3525" s="9" t="s">
        <v>1679</v>
      </c>
      <c r="C3525" s="15" t="s">
        <v>1680</v>
      </c>
      <c r="D3525" s="12" t="str">
        <f>"1522-9610"</f>
        <v>1522-9610</v>
      </c>
      <c r="E3525" s="5">
        <v>5.1920000000000002</v>
      </c>
      <c r="F3525" s="5">
        <v>0.88500000000000001</v>
      </c>
    </row>
    <row r="3526" spans="2:6" ht="25.5" x14ac:dyDescent="0.2">
      <c r="B3526" s="9" t="s">
        <v>7368</v>
      </c>
      <c r="C3526" s="15" t="s">
        <v>10356</v>
      </c>
      <c r="D3526" s="12" t="str">
        <f>"0360-1234"</f>
        <v>0360-1234</v>
      </c>
      <c r="E3526" s="5">
        <v>1.99</v>
      </c>
      <c r="F3526" s="5">
        <v>0.35199999999999998</v>
      </c>
    </row>
    <row r="3527" spans="2:6" ht="25.5" x14ac:dyDescent="0.2">
      <c r="B3527" s="9" t="s">
        <v>7369</v>
      </c>
      <c r="C3527" s="15" t="s">
        <v>10357</v>
      </c>
      <c r="D3527" s="12" t="str">
        <f>"1059-0501"</f>
        <v>1059-0501</v>
      </c>
      <c r="E3527" s="5">
        <v>3.7810000000000001</v>
      </c>
      <c r="F3527" s="5">
        <v>0.63400000000000001</v>
      </c>
    </row>
    <row r="3528" spans="2:6" x14ac:dyDescent="0.2">
      <c r="B3528" s="9" t="s">
        <v>7370</v>
      </c>
      <c r="C3528" s="15" t="s">
        <v>3248</v>
      </c>
      <c r="D3528" s="12" t="str">
        <f>"1475-6366"</f>
        <v>1475-6366</v>
      </c>
      <c r="E3528" s="5">
        <v>5.0510000000000002</v>
      </c>
      <c r="F3528" s="5">
        <v>0.79</v>
      </c>
    </row>
    <row r="3529" spans="2:6" x14ac:dyDescent="0.2">
      <c r="B3529" s="9" t="s">
        <v>7371</v>
      </c>
      <c r="C3529" s="15" t="s">
        <v>3249</v>
      </c>
      <c r="D3529" s="12" t="str">
        <f>"0917-5040"</f>
        <v>0917-5040</v>
      </c>
      <c r="E3529" s="5">
        <v>3.2109999999999999</v>
      </c>
      <c r="F3529" s="5">
        <v>0.68899999999999995</v>
      </c>
    </row>
    <row r="3530" spans="2:6" x14ac:dyDescent="0.2">
      <c r="B3530" s="9" t="s">
        <v>7372</v>
      </c>
      <c r="C3530" s="15" t="s">
        <v>3250</v>
      </c>
      <c r="D3530" s="12" t="str">
        <f>"0143-005X"</f>
        <v>0143-005X</v>
      </c>
      <c r="E3530" s="5">
        <v>3.71</v>
      </c>
      <c r="F3530" s="5">
        <v>0.76500000000000001</v>
      </c>
    </row>
    <row r="3531" spans="2:6" x14ac:dyDescent="0.2">
      <c r="B3531" s="9" t="s">
        <v>10358</v>
      </c>
      <c r="C3531" s="15" t="s">
        <v>10359</v>
      </c>
      <c r="D3531" s="12" t="str">
        <f>"2210-6006"</f>
        <v>2210-6006</v>
      </c>
      <c r="E3531" s="5">
        <v>1.7190000000000001</v>
      </c>
      <c r="F3531" s="5">
        <v>0.25900000000000001</v>
      </c>
    </row>
    <row r="3532" spans="2:6" x14ac:dyDescent="0.2">
      <c r="B3532" s="9" t="s">
        <v>7373</v>
      </c>
      <c r="C3532" s="15" t="s">
        <v>3251</v>
      </c>
      <c r="D3532" s="12" t="str">
        <f>"0737-0806"</f>
        <v>0737-0806</v>
      </c>
      <c r="E3532" s="5">
        <v>1.583</v>
      </c>
      <c r="F3532" s="5">
        <v>0.54800000000000004</v>
      </c>
    </row>
    <row r="3533" spans="2:6" x14ac:dyDescent="0.2">
      <c r="B3533" s="9" t="s">
        <v>1681</v>
      </c>
      <c r="C3533" s="15" t="s">
        <v>1682</v>
      </c>
      <c r="D3533" s="12" t="str">
        <f>"1496-4155"</f>
        <v>1496-4155</v>
      </c>
      <c r="E3533" s="5">
        <v>2.843</v>
      </c>
      <c r="F3533" s="5">
        <v>0.67</v>
      </c>
    </row>
    <row r="3534" spans="2:6" x14ac:dyDescent="0.2">
      <c r="B3534" s="9" t="s">
        <v>1683</v>
      </c>
      <c r="C3534" s="15" t="s">
        <v>1684</v>
      </c>
      <c r="D3534" s="12" t="str">
        <f>"1469-9451"</f>
        <v>1469-9451</v>
      </c>
      <c r="E3534" s="5">
        <v>5.34</v>
      </c>
      <c r="F3534" s="5">
        <v>1</v>
      </c>
    </row>
    <row r="3535" spans="2:6" x14ac:dyDescent="0.2">
      <c r="B3535" s="9" t="s">
        <v>10360</v>
      </c>
      <c r="C3535" s="15" t="s">
        <v>10361</v>
      </c>
      <c r="D3535" s="12" t="str">
        <f>"0278-0771"</f>
        <v>0278-0771</v>
      </c>
      <c r="E3535" s="5">
        <v>1.391</v>
      </c>
      <c r="F3535" s="5">
        <v>0.52300000000000002</v>
      </c>
    </row>
    <row r="3536" spans="2:6" x14ac:dyDescent="0.2">
      <c r="B3536" s="9" t="s">
        <v>10362</v>
      </c>
      <c r="C3536" s="15" t="s">
        <v>10363</v>
      </c>
      <c r="D3536" s="12" t="str">
        <f>"1746-4269"</f>
        <v>1746-4269</v>
      </c>
      <c r="E3536" s="5">
        <v>2.7330000000000001</v>
      </c>
      <c r="F3536" s="5">
        <v>0.65100000000000002</v>
      </c>
    </row>
    <row r="3537" spans="2:6" x14ac:dyDescent="0.2">
      <c r="B3537" s="9" t="s">
        <v>7374</v>
      </c>
      <c r="C3537" s="15" t="s">
        <v>3252</v>
      </c>
      <c r="D3537" s="12" t="str">
        <f>"0378-8741"</f>
        <v>0378-8741</v>
      </c>
      <c r="E3537" s="5">
        <v>4.3600000000000003</v>
      </c>
      <c r="F3537" s="5">
        <v>0.872</v>
      </c>
    </row>
    <row r="3538" spans="2:6" x14ac:dyDescent="0.2">
      <c r="B3538" s="9" t="s">
        <v>10364</v>
      </c>
      <c r="C3538" s="15" t="s">
        <v>10365</v>
      </c>
      <c r="D3538" s="12" t="str">
        <f>"1533-2640"</f>
        <v>1533-2640</v>
      </c>
      <c r="E3538" s="5">
        <v>1.5069999999999999</v>
      </c>
      <c r="F3538" s="5">
        <v>0.14599999999999999</v>
      </c>
    </row>
    <row r="3539" spans="2:6" x14ac:dyDescent="0.2">
      <c r="B3539" s="9" t="s">
        <v>7375</v>
      </c>
      <c r="C3539" s="15" t="s">
        <v>3253</v>
      </c>
      <c r="D3539" s="12" t="str">
        <f>"1066-5234"</f>
        <v>1066-5234</v>
      </c>
      <c r="E3539" s="5">
        <v>3.3460000000000001</v>
      </c>
      <c r="F3539" s="5">
        <v>0.45900000000000002</v>
      </c>
    </row>
    <row r="3540" spans="2:6" x14ac:dyDescent="0.2">
      <c r="B3540" s="9" t="s">
        <v>7376</v>
      </c>
      <c r="C3540" s="15" t="s">
        <v>3254</v>
      </c>
      <c r="D3540" s="12" t="str">
        <f>"0926-9959"</f>
        <v>0926-9959</v>
      </c>
      <c r="E3540" s="5">
        <v>6.1660000000000004</v>
      </c>
      <c r="F3540" s="5">
        <v>0.91200000000000003</v>
      </c>
    </row>
    <row r="3541" spans="2:6" x14ac:dyDescent="0.2">
      <c r="B3541" s="9" t="s">
        <v>10366</v>
      </c>
      <c r="C3541" s="15" t="s">
        <v>10367</v>
      </c>
      <c r="D3541" s="12" t="str">
        <f>"1990-2573"</f>
        <v>1990-2573</v>
      </c>
      <c r="E3541" s="5">
        <v>1.528</v>
      </c>
      <c r="F3541" s="5">
        <v>0.28299999999999997</v>
      </c>
    </row>
    <row r="3542" spans="2:6" x14ac:dyDescent="0.2">
      <c r="B3542" s="9" t="s">
        <v>7377</v>
      </c>
      <c r="C3542" s="15" t="s">
        <v>3255</v>
      </c>
      <c r="D3542" s="12" t="str">
        <f>"1365-2753"</f>
        <v>1365-2753</v>
      </c>
      <c r="E3542" s="5">
        <v>2.431</v>
      </c>
      <c r="F3542" s="5">
        <v>0.53300000000000003</v>
      </c>
    </row>
    <row r="3543" spans="2:6" x14ac:dyDescent="0.2">
      <c r="B3543" s="9" t="s">
        <v>10368</v>
      </c>
      <c r="C3543" s="15" t="s">
        <v>10369</v>
      </c>
      <c r="D3543" s="12" t="str">
        <f>"1532-3382"</f>
        <v>1532-3382</v>
      </c>
      <c r="E3543" s="5">
        <v>5.2670000000000003</v>
      </c>
      <c r="F3543" s="5">
        <v>0.91200000000000003</v>
      </c>
    </row>
    <row r="3544" spans="2:6" x14ac:dyDescent="0.2">
      <c r="B3544" s="9" t="s">
        <v>10370</v>
      </c>
      <c r="C3544" s="15" t="s">
        <v>10371</v>
      </c>
      <c r="D3544" s="12" t="str">
        <f>"2360-0853"</f>
        <v>2360-0853</v>
      </c>
      <c r="E3544" s="5">
        <v>0.34200000000000003</v>
      </c>
      <c r="F3544" s="5">
        <v>2.3E-2</v>
      </c>
    </row>
    <row r="3545" spans="2:6" x14ac:dyDescent="0.2">
      <c r="B3545" s="9" t="s">
        <v>7378</v>
      </c>
      <c r="C3545" s="15" t="s">
        <v>3256</v>
      </c>
      <c r="D3545" s="12" t="str">
        <f>"0022-0930"</f>
        <v>0022-0930</v>
      </c>
      <c r="E3545" s="5">
        <v>0.44400000000000001</v>
      </c>
      <c r="F3545" s="5">
        <v>3.6999999999999998E-2</v>
      </c>
    </row>
    <row r="3546" spans="2:6" x14ac:dyDescent="0.2">
      <c r="B3546" s="9" t="s">
        <v>7379</v>
      </c>
      <c r="C3546" s="15" t="s">
        <v>3257</v>
      </c>
      <c r="D3546" s="12" t="str">
        <f>"1010-061X"</f>
        <v>1010-061X</v>
      </c>
      <c r="E3546" s="5">
        <v>2.411</v>
      </c>
      <c r="F3546" s="5">
        <v>0.44600000000000001</v>
      </c>
    </row>
    <row r="3547" spans="2:6" x14ac:dyDescent="0.2">
      <c r="B3547" s="9" t="s">
        <v>1685</v>
      </c>
      <c r="C3547" s="15" t="s">
        <v>1686</v>
      </c>
      <c r="D3547" s="12" t="str">
        <f>"1728-869X"</f>
        <v>1728-869X</v>
      </c>
      <c r="E3547" s="5">
        <v>3.1030000000000002</v>
      </c>
      <c r="F3547" s="5">
        <v>0.64800000000000002</v>
      </c>
    </row>
    <row r="3548" spans="2:6" x14ac:dyDescent="0.2">
      <c r="B3548" s="9" t="s">
        <v>1687</v>
      </c>
      <c r="C3548" s="15" t="s">
        <v>1688</v>
      </c>
      <c r="D3548" s="12" t="str">
        <f>"1557-5063"</f>
        <v>1557-5063</v>
      </c>
      <c r="E3548" s="5">
        <v>0.45300000000000001</v>
      </c>
      <c r="F3548" s="5">
        <v>0.13700000000000001</v>
      </c>
    </row>
    <row r="3549" spans="2:6" x14ac:dyDescent="0.2">
      <c r="B3549" s="9" t="s">
        <v>1689</v>
      </c>
      <c r="C3549" s="15" t="s">
        <v>1690</v>
      </c>
      <c r="D3549" s="12" t="str">
        <f>"0022-5002"</f>
        <v>0022-5002</v>
      </c>
      <c r="E3549" s="5">
        <v>2.468</v>
      </c>
      <c r="F3549" s="5">
        <v>0.52200000000000002</v>
      </c>
    </row>
    <row r="3550" spans="2:6" x14ac:dyDescent="0.2">
      <c r="B3550" s="9" t="s">
        <v>7380</v>
      </c>
      <c r="C3550" s="15" t="s">
        <v>3258</v>
      </c>
      <c r="D3550" s="12" t="str">
        <f>"0022-0949"</f>
        <v>0022-0949</v>
      </c>
      <c r="E3550" s="5">
        <v>3.3119999999999998</v>
      </c>
      <c r="F3550" s="5">
        <v>0.69899999999999995</v>
      </c>
    </row>
    <row r="3551" spans="2:6" x14ac:dyDescent="0.2">
      <c r="B3551" s="9" t="s">
        <v>1691</v>
      </c>
      <c r="C3551" s="15" t="s">
        <v>1692</v>
      </c>
      <c r="D3551" s="12" t="str">
        <f>"0022-0965"</f>
        <v>0022-0965</v>
      </c>
      <c r="E3551" s="5">
        <v>2.61</v>
      </c>
      <c r="F3551" s="5">
        <v>0.57099999999999995</v>
      </c>
    </row>
    <row r="3552" spans="2:6" x14ac:dyDescent="0.2">
      <c r="B3552" s="9" t="s">
        <v>7381</v>
      </c>
      <c r="C3552" s="15" t="s">
        <v>3259</v>
      </c>
      <c r="D3552" s="12" t="str">
        <f>"1756-9966"</f>
        <v>1756-9966</v>
      </c>
      <c r="E3552" s="5">
        <v>11.161</v>
      </c>
      <c r="F3552" s="5">
        <v>0.9</v>
      </c>
    </row>
    <row r="3553" spans="2:6" x14ac:dyDescent="0.2">
      <c r="B3553" s="9" t="s">
        <v>1693</v>
      </c>
      <c r="C3553" s="15" t="s">
        <v>1694</v>
      </c>
      <c r="D3553" s="12" t="str">
        <f>"0022-0973"</f>
        <v>0022-0973</v>
      </c>
      <c r="E3553" s="5">
        <v>2.6230000000000002</v>
      </c>
      <c r="F3553" s="5">
        <v>0.59799999999999998</v>
      </c>
    </row>
    <row r="3554" spans="2:6" x14ac:dyDescent="0.2">
      <c r="B3554" s="9" t="s">
        <v>7382</v>
      </c>
      <c r="C3554" s="15" t="s">
        <v>3260</v>
      </c>
      <c r="D3554" s="12" t="str">
        <f>"0022-1007"</f>
        <v>0022-1007</v>
      </c>
      <c r="E3554" s="5">
        <v>14.307</v>
      </c>
      <c r="F3554" s="5">
        <v>0.97899999999999998</v>
      </c>
    </row>
    <row r="3555" spans="2:6" x14ac:dyDescent="0.2">
      <c r="B3555" s="9" t="s">
        <v>1695</v>
      </c>
      <c r="C3555" s="15" t="s">
        <v>1696</v>
      </c>
      <c r="D3555" s="12" t="str">
        <f>"1745-8080"</f>
        <v>1745-8080</v>
      </c>
      <c r="E3555" s="5">
        <v>3.0750000000000002</v>
      </c>
      <c r="F3555" s="5">
        <v>0.61899999999999999</v>
      </c>
    </row>
    <row r="3556" spans="2:6" x14ac:dyDescent="0.2">
      <c r="B3556" s="9" t="s">
        <v>7385</v>
      </c>
      <c r="C3556" s="15" t="s">
        <v>3263</v>
      </c>
      <c r="D3556" s="12" t="str">
        <f>"1559-0631"</f>
        <v>1559-0631</v>
      </c>
      <c r="E3556" s="5">
        <v>5.5629999999999997</v>
      </c>
      <c r="F3556" s="5">
        <v>0.90800000000000003</v>
      </c>
    </row>
    <row r="3557" spans="2:6" x14ac:dyDescent="0.2">
      <c r="B3557" s="9" t="s">
        <v>10372</v>
      </c>
      <c r="C3557" s="15" t="s">
        <v>10373</v>
      </c>
      <c r="D3557" s="12" t="str">
        <f>"2329-8456"</f>
        <v>2329-8456</v>
      </c>
      <c r="E3557" s="5">
        <v>2.4780000000000002</v>
      </c>
      <c r="F3557" s="5">
        <v>0.82799999999999996</v>
      </c>
    </row>
    <row r="3558" spans="2:6" x14ac:dyDescent="0.2">
      <c r="B3558" s="9" t="s">
        <v>1699</v>
      </c>
      <c r="C3558" s="15" t="s">
        <v>1700</v>
      </c>
      <c r="D3558" s="12" t="str">
        <f>"1076-898X"</f>
        <v>1076-898X</v>
      </c>
      <c r="E3558" s="5">
        <v>2.5409999999999999</v>
      </c>
      <c r="F3558" s="5">
        <v>0.44600000000000001</v>
      </c>
    </row>
    <row r="3559" spans="2:6" x14ac:dyDescent="0.2">
      <c r="B3559" s="9" t="s">
        <v>1697</v>
      </c>
      <c r="C3559" s="15" t="s">
        <v>1698</v>
      </c>
      <c r="D3559" s="12" t="str">
        <f>"0096-3445"</f>
        <v>0096-3445</v>
      </c>
      <c r="E3559" s="5">
        <v>4.9130000000000003</v>
      </c>
      <c r="F3559" s="5">
        <v>0.92200000000000004</v>
      </c>
    </row>
    <row r="3560" spans="2:6" ht="25.5" x14ac:dyDescent="0.2">
      <c r="B3560" s="9" t="s">
        <v>7383</v>
      </c>
      <c r="C3560" s="15" t="s">
        <v>3261</v>
      </c>
      <c r="D3560" s="12" t="str">
        <f>"0096-1523"</f>
        <v>0096-1523</v>
      </c>
      <c r="E3560" s="5">
        <v>3.3319999999999999</v>
      </c>
      <c r="F3560" s="5">
        <v>0.72199999999999998</v>
      </c>
    </row>
    <row r="3561" spans="2:6" x14ac:dyDescent="0.2">
      <c r="B3561" s="9" t="s">
        <v>7384</v>
      </c>
      <c r="C3561" s="15" t="s">
        <v>3262</v>
      </c>
      <c r="D3561" s="12" t="str">
        <f>"0278-7393"</f>
        <v>0278-7393</v>
      </c>
      <c r="E3561" s="5">
        <v>3.0510000000000002</v>
      </c>
      <c r="F3561" s="5">
        <v>0.64400000000000002</v>
      </c>
    </row>
    <row r="3562" spans="2:6" x14ac:dyDescent="0.2">
      <c r="B3562" s="9" t="s">
        <v>10374</v>
      </c>
      <c r="C3562" s="15" t="s">
        <v>10375</v>
      </c>
      <c r="D3562" s="12" t="str">
        <f>"2043-8087"</f>
        <v>2043-8087</v>
      </c>
      <c r="E3562" s="5">
        <v>1.964</v>
      </c>
      <c r="F3562" s="5">
        <v>0.3</v>
      </c>
    </row>
    <row r="3563" spans="2:6" x14ac:dyDescent="0.2">
      <c r="B3563" s="9" t="s">
        <v>1701</v>
      </c>
      <c r="C3563" s="15" t="s">
        <v>1702</v>
      </c>
      <c r="D3563" s="12" t="str">
        <f>"0022-1031"</f>
        <v>0022-1031</v>
      </c>
      <c r="E3563" s="5">
        <v>3.6030000000000002</v>
      </c>
      <c r="F3563" s="5">
        <v>0.71899999999999997</v>
      </c>
    </row>
    <row r="3564" spans="2:6" ht="25.5" x14ac:dyDescent="0.2">
      <c r="B3564" s="9" t="s">
        <v>1703</v>
      </c>
      <c r="C3564" s="15" t="s">
        <v>10376</v>
      </c>
      <c r="D3564" s="12" t="str">
        <f>"1552-5007"</f>
        <v>1552-5007</v>
      </c>
      <c r="E3564" s="5">
        <v>2.6560000000000001</v>
      </c>
      <c r="F3564" s="5">
        <v>0.874</v>
      </c>
    </row>
    <row r="3565" spans="2:6" x14ac:dyDescent="0.2">
      <c r="B3565" s="9" t="s">
        <v>10377</v>
      </c>
      <c r="C3565" s="15" t="s">
        <v>10378</v>
      </c>
      <c r="D3565" s="12" t="str">
        <f>"2001-3078"</f>
        <v>2001-3078</v>
      </c>
      <c r="E3565" s="5">
        <v>25.841000000000001</v>
      </c>
      <c r="F3565" s="5">
        <v>0.96899999999999997</v>
      </c>
    </row>
    <row r="3566" spans="2:6" x14ac:dyDescent="0.2">
      <c r="B3566" s="9" t="s">
        <v>10379</v>
      </c>
      <c r="C3566" s="15" t="s">
        <v>10380</v>
      </c>
      <c r="D3566" s="12" t="str">
        <f>"1995-8692"</f>
        <v>1995-8692</v>
      </c>
      <c r="E3566" s="5">
        <v>0.95699999999999996</v>
      </c>
      <c r="F3566" s="5">
        <v>6.5000000000000002E-2</v>
      </c>
    </row>
    <row r="3567" spans="2:6" x14ac:dyDescent="0.2">
      <c r="B3567" s="9" t="s">
        <v>1704</v>
      </c>
      <c r="C3567" s="15" t="s">
        <v>1705</v>
      </c>
      <c r="D3567" s="12" t="str">
        <f>"1074-8407"</f>
        <v>1074-8407</v>
      </c>
      <c r="E3567" s="5">
        <v>3.8180000000000001</v>
      </c>
      <c r="F3567" s="5">
        <v>0.98399999999999999</v>
      </c>
    </row>
    <row r="3568" spans="2:6" x14ac:dyDescent="0.2">
      <c r="B3568" s="9" t="s">
        <v>7386</v>
      </c>
      <c r="C3568" s="15" t="s">
        <v>3264</v>
      </c>
      <c r="D3568" s="12" t="str">
        <f>"0094-3509"</f>
        <v>0094-3509</v>
      </c>
      <c r="E3568" s="5">
        <v>0.49299999999999999</v>
      </c>
      <c r="F3568" s="5">
        <v>6.6000000000000003E-2</v>
      </c>
    </row>
    <row r="3569" spans="2:6" x14ac:dyDescent="0.2">
      <c r="B3569" s="9" t="s">
        <v>1706</v>
      </c>
      <c r="C3569" s="15" t="s">
        <v>1707</v>
      </c>
      <c r="D3569" s="12" t="str">
        <f>"0893-3200"</f>
        <v>0893-3200</v>
      </c>
      <c r="E3569" s="5">
        <v>2.69</v>
      </c>
      <c r="F3569" s="5">
        <v>0.63</v>
      </c>
    </row>
    <row r="3570" spans="2:6" x14ac:dyDescent="0.2">
      <c r="B3570" s="9" t="s">
        <v>1708</v>
      </c>
      <c r="C3570" s="15" t="s">
        <v>1709</v>
      </c>
      <c r="D3570" s="12" t="str">
        <f>"0163-4445"</f>
        <v>0163-4445</v>
      </c>
      <c r="E3570" s="5">
        <v>1.417</v>
      </c>
      <c r="F3570" s="5">
        <v>0.30399999999999999</v>
      </c>
    </row>
    <row r="3571" spans="2:6" x14ac:dyDescent="0.2">
      <c r="B3571" s="9" t="s">
        <v>1710</v>
      </c>
      <c r="C3571" s="15" t="s">
        <v>1711</v>
      </c>
      <c r="D3571" s="12" t="str">
        <f>"0885-7482"</f>
        <v>0885-7482</v>
      </c>
      <c r="E3571" s="5">
        <v>2.1829999999999998</v>
      </c>
      <c r="F3571" s="5">
        <v>0.5</v>
      </c>
    </row>
    <row r="3572" spans="2:6" x14ac:dyDescent="0.2">
      <c r="B3572" s="9" t="s">
        <v>7387</v>
      </c>
      <c r="C3572" s="15" t="s">
        <v>3265</v>
      </c>
      <c r="D3572" s="12" t="str">
        <f>"1098-612X"</f>
        <v>1098-612X</v>
      </c>
      <c r="E3572" s="5">
        <v>2.0150000000000001</v>
      </c>
      <c r="F3572" s="5">
        <v>0.68500000000000005</v>
      </c>
    </row>
    <row r="3573" spans="2:6" x14ac:dyDescent="0.2">
      <c r="B3573" s="9" t="s">
        <v>7388</v>
      </c>
      <c r="C3573" s="15" t="s">
        <v>3266</v>
      </c>
      <c r="D3573" s="12" t="str">
        <f>"1365-2761"</f>
        <v>1365-2761</v>
      </c>
      <c r="E3573" s="5">
        <v>2.7669999999999999</v>
      </c>
      <c r="F3573" s="5">
        <v>0.88400000000000001</v>
      </c>
    </row>
    <row r="3574" spans="2:6" x14ac:dyDescent="0.2">
      <c r="B3574" s="9" t="s">
        <v>10381</v>
      </c>
      <c r="C3574" s="15" t="s">
        <v>10382</v>
      </c>
      <c r="D3574" s="12" t="str">
        <f>"2062-249X"</f>
        <v>2062-249X</v>
      </c>
      <c r="E3574" s="5">
        <v>2.786</v>
      </c>
      <c r="F3574" s="5">
        <v>0.45500000000000002</v>
      </c>
    </row>
    <row r="3575" spans="2:6" x14ac:dyDescent="0.2">
      <c r="B3575" s="9" t="s">
        <v>1712</v>
      </c>
      <c r="C3575" s="15" t="s">
        <v>327</v>
      </c>
      <c r="D3575" s="12" t="str">
        <f>"0094-730X"</f>
        <v>0094-730X</v>
      </c>
      <c r="E3575" s="5">
        <v>2.5379999999999998</v>
      </c>
      <c r="F3575" s="5">
        <v>0.85899999999999999</v>
      </c>
    </row>
    <row r="3576" spans="2:6" x14ac:dyDescent="0.2">
      <c r="B3576" s="9" t="s">
        <v>7389</v>
      </c>
      <c r="C3576" s="15" t="s">
        <v>3267</v>
      </c>
      <c r="D3576" s="12" t="str">
        <f>"0098-2202"</f>
        <v>0098-2202</v>
      </c>
      <c r="E3576" s="5">
        <v>1.9950000000000001</v>
      </c>
      <c r="F3576" s="5">
        <v>0.436</v>
      </c>
    </row>
    <row r="3577" spans="2:6" x14ac:dyDescent="0.2">
      <c r="B3577" s="9" t="s">
        <v>7390</v>
      </c>
      <c r="C3577" s="15" t="s">
        <v>3268</v>
      </c>
      <c r="D3577" s="12" t="str">
        <f>"0889-9746"</f>
        <v>0889-9746</v>
      </c>
      <c r="E3577" s="5">
        <v>2.9169999999999998</v>
      </c>
      <c r="F3577" s="5">
        <v>0.63200000000000001</v>
      </c>
    </row>
    <row r="3578" spans="2:6" x14ac:dyDescent="0.2">
      <c r="B3578" s="9" t="s">
        <v>7391</v>
      </c>
      <c r="C3578" s="15" t="s">
        <v>3269</v>
      </c>
      <c r="D3578" s="12" t="str">
        <f>"1053-0509"</f>
        <v>1053-0509</v>
      </c>
      <c r="E3578" s="5">
        <v>2.2170000000000001</v>
      </c>
      <c r="F3578" s="5">
        <v>0.30099999999999999</v>
      </c>
    </row>
    <row r="3579" spans="2:6" x14ac:dyDescent="0.2">
      <c r="B3579" s="9" t="s">
        <v>7392</v>
      </c>
      <c r="C3579" s="15" t="s">
        <v>3270</v>
      </c>
      <c r="D3579" s="12" t="str">
        <f>"0022-1139"</f>
        <v>0022-1139</v>
      </c>
      <c r="E3579" s="5">
        <v>2.0499999999999998</v>
      </c>
      <c r="F3579" s="5">
        <v>0.48899999999999999</v>
      </c>
    </row>
    <row r="3580" spans="2:6" x14ac:dyDescent="0.2">
      <c r="B3580" s="9" t="s">
        <v>7393</v>
      </c>
      <c r="C3580" s="15" t="s">
        <v>3271</v>
      </c>
      <c r="D3580" s="12" t="str">
        <f>"0145-8884"</f>
        <v>0145-8884</v>
      </c>
      <c r="E3580" s="5">
        <v>2.72</v>
      </c>
      <c r="F3580" s="5">
        <v>0.497</v>
      </c>
    </row>
    <row r="3581" spans="2:6" x14ac:dyDescent="0.2">
      <c r="B3581" s="9" t="s">
        <v>7394</v>
      </c>
      <c r="C3581" s="15" t="s">
        <v>3272</v>
      </c>
      <c r="D3581" s="12" t="str">
        <f>"1021-9498"</f>
        <v>1021-9498</v>
      </c>
      <c r="E3581" s="5">
        <v>6.0789999999999997</v>
      </c>
      <c r="F3581" s="5">
        <v>0.92300000000000004</v>
      </c>
    </row>
    <row r="3582" spans="2:6" x14ac:dyDescent="0.2">
      <c r="B3582" s="9" t="s">
        <v>7395</v>
      </c>
      <c r="C3582" s="15" t="s">
        <v>3273</v>
      </c>
      <c r="D3582" s="12" t="str">
        <f>"0362-028X"</f>
        <v>0362-028X</v>
      </c>
      <c r="E3582" s="5">
        <v>2.077</v>
      </c>
      <c r="F3582" s="5">
        <v>0.36399999999999999</v>
      </c>
    </row>
    <row r="3583" spans="2:6" x14ac:dyDescent="0.2">
      <c r="B3583" s="9" t="s">
        <v>7396</v>
      </c>
      <c r="C3583" s="15" t="s">
        <v>3274</v>
      </c>
      <c r="D3583" s="12" t="str">
        <f>"0149-6085"</f>
        <v>0149-6085</v>
      </c>
      <c r="E3583" s="5">
        <v>1.9530000000000001</v>
      </c>
      <c r="F3583" s="5">
        <v>0.29399999999999998</v>
      </c>
    </row>
    <row r="3584" spans="2:6" x14ac:dyDescent="0.2">
      <c r="B3584" s="9" t="s">
        <v>10383</v>
      </c>
      <c r="C3584" s="15" t="s">
        <v>10384</v>
      </c>
      <c r="D3584" s="12" t="str">
        <f>"0003-925X"</f>
        <v>0003-925X</v>
      </c>
      <c r="E3584" s="5">
        <v>0.35599999999999998</v>
      </c>
      <c r="F3584" s="5">
        <v>8.1000000000000003E-2</v>
      </c>
    </row>
    <row r="3585" spans="2:6" x14ac:dyDescent="0.2">
      <c r="B3585" s="9" t="s">
        <v>10385</v>
      </c>
      <c r="C3585" s="15" t="s">
        <v>10386</v>
      </c>
      <c r="D3585" s="12" t="str">
        <f>"1757-1146"</f>
        <v>1757-1146</v>
      </c>
      <c r="E3585" s="5">
        <v>2.3029999999999999</v>
      </c>
      <c r="F3585" s="5">
        <v>0.46899999999999997</v>
      </c>
    </row>
    <row r="3586" spans="2:6" x14ac:dyDescent="0.2">
      <c r="B3586" s="9" t="s">
        <v>10387</v>
      </c>
      <c r="C3586" s="15" t="s">
        <v>10388</v>
      </c>
      <c r="D3586" s="12" t="str">
        <f>"1067-2516"</f>
        <v>1067-2516</v>
      </c>
      <c r="E3586" s="5">
        <v>1.286</v>
      </c>
      <c r="F3586" s="5">
        <v>0.19800000000000001</v>
      </c>
    </row>
    <row r="3587" spans="2:6" x14ac:dyDescent="0.2">
      <c r="B3587" s="9" t="s">
        <v>10389</v>
      </c>
      <c r="C3587" s="15" t="s">
        <v>10390</v>
      </c>
      <c r="D3587" s="12" t="str">
        <f>"2473-2850"</f>
        <v>2473-2850</v>
      </c>
      <c r="E3587" s="5">
        <v>0.90500000000000003</v>
      </c>
      <c r="F3587" s="5">
        <v>0.17299999999999999</v>
      </c>
    </row>
    <row r="3588" spans="2:6" x14ac:dyDescent="0.2">
      <c r="B3588" s="9" t="s">
        <v>10391</v>
      </c>
      <c r="C3588" s="15" t="s">
        <v>10392</v>
      </c>
      <c r="D3588" s="12" t="str">
        <f>"1752-928X"</f>
        <v>1752-928X</v>
      </c>
      <c r="E3588" s="5">
        <v>1.6140000000000001</v>
      </c>
      <c r="F3588" s="5">
        <v>0.47099999999999997</v>
      </c>
    </row>
    <row r="3589" spans="2:6" x14ac:dyDescent="0.2">
      <c r="B3589" s="9" t="s">
        <v>10393</v>
      </c>
      <c r="C3589" s="15" t="s">
        <v>10394</v>
      </c>
      <c r="D3589" s="12" t="str">
        <f>"1556-3693"</f>
        <v>1556-3693</v>
      </c>
      <c r="E3589" s="5">
        <v>1.175</v>
      </c>
      <c r="F3589" s="5">
        <v>0.19800000000000001</v>
      </c>
    </row>
    <row r="3590" spans="2:6" x14ac:dyDescent="0.2">
      <c r="B3590" s="9" t="s">
        <v>328</v>
      </c>
      <c r="C3590" s="15" t="s">
        <v>329</v>
      </c>
      <c r="D3590" s="12" t="str">
        <f>"1478-9949"</f>
        <v>1478-9949</v>
      </c>
      <c r="E3590" s="5">
        <v>1.1479999999999999</v>
      </c>
      <c r="F3590" s="5">
        <v>0.13400000000000001</v>
      </c>
    </row>
    <row r="3591" spans="2:6" x14ac:dyDescent="0.2">
      <c r="B3591" s="9" t="s">
        <v>7397</v>
      </c>
      <c r="C3591" s="15" t="s">
        <v>3275</v>
      </c>
      <c r="D3591" s="12" t="str">
        <f>"0022-1198"</f>
        <v>0022-1198</v>
      </c>
      <c r="E3591" s="5">
        <v>1.8320000000000001</v>
      </c>
      <c r="F3591" s="5">
        <v>0.58799999999999997</v>
      </c>
    </row>
    <row r="3592" spans="2:6" x14ac:dyDescent="0.2">
      <c r="B3592" s="9" t="s">
        <v>7398</v>
      </c>
      <c r="C3592" s="15" t="s">
        <v>3276</v>
      </c>
      <c r="D3592" s="12" t="str">
        <f>"0929-6646"</f>
        <v>0929-6646</v>
      </c>
      <c r="E3592" s="5">
        <v>3.282</v>
      </c>
      <c r="F3592" s="5">
        <v>0.68899999999999995</v>
      </c>
    </row>
    <row r="3593" spans="2:6" x14ac:dyDescent="0.2">
      <c r="B3593" s="9" t="s">
        <v>10395</v>
      </c>
      <c r="C3593" s="15" t="s">
        <v>10396</v>
      </c>
      <c r="D3593" s="12" t="str">
        <f>"1068-3666"</f>
        <v>1068-3666</v>
      </c>
      <c r="E3593" s="5">
        <v>0.56799999999999995</v>
      </c>
      <c r="F3593" s="5">
        <v>3.5999999999999997E-2</v>
      </c>
    </row>
    <row r="3594" spans="2:6" x14ac:dyDescent="0.2">
      <c r="B3594" s="9" t="s">
        <v>7399</v>
      </c>
      <c r="C3594" s="15" t="s">
        <v>3277</v>
      </c>
      <c r="D3594" s="12" t="str">
        <f>"0181-5512"</f>
        <v>0181-5512</v>
      </c>
      <c r="E3594" s="5">
        <v>0.81799999999999995</v>
      </c>
      <c r="F3594" s="5">
        <v>3.2000000000000001E-2</v>
      </c>
    </row>
    <row r="3595" spans="2:6" x14ac:dyDescent="0.2">
      <c r="B3595" s="9" t="s">
        <v>10397</v>
      </c>
      <c r="C3595" s="15" t="s">
        <v>10398</v>
      </c>
      <c r="D3595" s="12" t="str">
        <f>"1756-4646"</f>
        <v>1756-4646</v>
      </c>
      <c r="E3595" s="5">
        <v>4.4509999999999996</v>
      </c>
      <c r="F3595" s="5">
        <v>0.76200000000000001</v>
      </c>
    </row>
    <row r="3596" spans="2:6" x14ac:dyDescent="0.2">
      <c r="B3596" s="9" t="s">
        <v>10399</v>
      </c>
      <c r="C3596" s="15" t="s">
        <v>10400</v>
      </c>
      <c r="D3596" s="12" t="str">
        <f>"2309-608X"</f>
        <v>2309-608X</v>
      </c>
      <c r="E3596" s="5">
        <v>5.8159999999999998</v>
      </c>
      <c r="F3596" s="5">
        <v>0.89700000000000002</v>
      </c>
    </row>
    <row r="3597" spans="2:6" x14ac:dyDescent="0.2">
      <c r="B3597" s="9" t="s">
        <v>330</v>
      </c>
      <c r="C3597" s="15" t="s">
        <v>331</v>
      </c>
      <c r="D3597" s="12" t="str">
        <f>"1050-5350"</f>
        <v>1050-5350</v>
      </c>
      <c r="E3597" s="5">
        <v>3.6549999999999998</v>
      </c>
      <c r="F3597" s="5">
        <v>0.78400000000000003</v>
      </c>
    </row>
    <row r="3598" spans="2:6" x14ac:dyDescent="0.2">
      <c r="B3598" s="9" t="s">
        <v>10401</v>
      </c>
      <c r="C3598" s="15" t="s">
        <v>10402</v>
      </c>
      <c r="D3598" s="12" t="str">
        <f>"2093-582X"</f>
        <v>2093-582X</v>
      </c>
      <c r="E3598" s="5">
        <v>3.72</v>
      </c>
      <c r="F3598" s="5">
        <v>0.435</v>
      </c>
    </row>
    <row r="3599" spans="2:6" x14ac:dyDescent="0.2">
      <c r="B3599" s="9" t="s">
        <v>7400</v>
      </c>
      <c r="C3599" s="15" t="s">
        <v>3278</v>
      </c>
      <c r="D3599" s="12" t="str">
        <f>"1440-1746"</f>
        <v>1440-1746</v>
      </c>
      <c r="E3599" s="5">
        <v>4.0289999999999999</v>
      </c>
      <c r="F3599" s="5">
        <v>0.52200000000000002</v>
      </c>
    </row>
    <row r="3600" spans="2:6" x14ac:dyDescent="0.2">
      <c r="B3600" s="9" t="s">
        <v>7401</v>
      </c>
      <c r="C3600" s="15" t="s">
        <v>3279</v>
      </c>
      <c r="D3600" s="12" t="str">
        <f>"0944-1174"</f>
        <v>0944-1174</v>
      </c>
      <c r="E3600" s="5">
        <v>7.5270000000000001</v>
      </c>
      <c r="F3600" s="5">
        <v>0.82599999999999996</v>
      </c>
    </row>
    <row r="3601" spans="2:6" x14ac:dyDescent="0.2">
      <c r="B3601" s="9" t="s">
        <v>332</v>
      </c>
      <c r="C3601" s="15" t="s">
        <v>333</v>
      </c>
      <c r="D3601" s="12" t="str">
        <f>"1841-8724"</f>
        <v>1841-8724</v>
      </c>
      <c r="E3601" s="5">
        <v>2.008</v>
      </c>
      <c r="F3601" s="5">
        <v>7.5999999999999998E-2</v>
      </c>
    </row>
    <row r="3602" spans="2:6" x14ac:dyDescent="0.2">
      <c r="B3602" s="9" t="s">
        <v>10403</v>
      </c>
      <c r="C3602" s="15" t="s">
        <v>10404</v>
      </c>
      <c r="D3602" s="12" t="str">
        <f>"2078-6891"</f>
        <v>2078-6891</v>
      </c>
      <c r="E3602" s="5">
        <v>2.8919999999999999</v>
      </c>
      <c r="F3602" s="5">
        <v>0.25</v>
      </c>
    </row>
    <row r="3603" spans="2:6" x14ac:dyDescent="0.2">
      <c r="B3603" s="9" t="s">
        <v>7402</v>
      </c>
      <c r="C3603" s="15" t="s">
        <v>3280</v>
      </c>
      <c r="D3603" s="12" t="str">
        <f>"1091-255X"</f>
        <v>1091-255X</v>
      </c>
      <c r="E3603" s="5">
        <v>3.452</v>
      </c>
      <c r="F3603" s="5">
        <v>0.71399999999999997</v>
      </c>
    </row>
    <row r="3604" spans="2:6" x14ac:dyDescent="0.2">
      <c r="B3604" s="9" t="s">
        <v>7403</v>
      </c>
      <c r="C3604" s="15" t="s">
        <v>3281</v>
      </c>
      <c r="D3604" s="12" t="str">
        <f>"0022-1260"</f>
        <v>0022-1260</v>
      </c>
      <c r="E3604" s="5">
        <v>1.452</v>
      </c>
      <c r="F3604" s="5">
        <v>7.3999999999999996E-2</v>
      </c>
    </row>
    <row r="3605" spans="2:6" x14ac:dyDescent="0.2">
      <c r="B3605" s="9" t="s">
        <v>336</v>
      </c>
      <c r="C3605" s="15" t="s">
        <v>337</v>
      </c>
      <c r="D3605" s="12" t="str">
        <f>"0958-9236"</f>
        <v>0958-9236</v>
      </c>
      <c r="E3605" s="5">
        <v>2.5390000000000001</v>
      </c>
      <c r="F3605" s="5">
        <v>0.79500000000000004</v>
      </c>
    </row>
    <row r="3606" spans="2:6" x14ac:dyDescent="0.2">
      <c r="B3606" s="9" t="s">
        <v>7407</v>
      </c>
      <c r="C3606" s="15" t="s">
        <v>3285</v>
      </c>
      <c r="D3606" s="12" t="str">
        <f>"1099-498X"</f>
        <v>1099-498X</v>
      </c>
      <c r="E3606" s="5">
        <v>4.5650000000000004</v>
      </c>
      <c r="F3606" s="5">
        <v>0.73399999999999999</v>
      </c>
    </row>
    <row r="3607" spans="2:6" x14ac:dyDescent="0.2">
      <c r="B3607" s="9" t="s">
        <v>7408</v>
      </c>
      <c r="C3607" s="15" t="s">
        <v>3286</v>
      </c>
      <c r="D3607" s="12" t="str">
        <f>"0022-1333"</f>
        <v>0022-1333</v>
      </c>
      <c r="E3607" s="5">
        <v>1.1659999999999999</v>
      </c>
      <c r="F3607" s="5">
        <v>8.5999999999999993E-2</v>
      </c>
    </row>
    <row r="3608" spans="2:6" x14ac:dyDescent="0.2">
      <c r="B3608" s="9" t="s">
        <v>10405</v>
      </c>
      <c r="C3608" s="15" t="s">
        <v>10406</v>
      </c>
      <c r="D3608" s="12" t="str">
        <f>"1059-7700"</f>
        <v>1059-7700</v>
      </c>
      <c r="E3608" s="5">
        <v>2.5369999999999999</v>
      </c>
      <c r="F3608" s="5">
        <v>0.65900000000000003</v>
      </c>
    </row>
    <row r="3609" spans="2:6" x14ac:dyDescent="0.2">
      <c r="B3609" s="9" t="s">
        <v>338</v>
      </c>
      <c r="C3609" s="15" t="s">
        <v>339</v>
      </c>
      <c r="D3609" s="12" t="str">
        <f>"1673-8527"</f>
        <v>1673-8527</v>
      </c>
      <c r="E3609" s="5">
        <v>4.2750000000000004</v>
      </c>
      <c r="F3609" s="5">
        <v>0.66900000000000004</v>
      </c>
    </row>
    <row r="3610" spans="2:6" x14ac:dyDescent="0.2">
      <c r="B3610" s="9" t="s">
        <v>7409</v>
      </c>
      <c r="C3610" s="15" t="s">
        <v>3287</v>
      </c>
      <c r="D3610" s="12" t="str">
        <f>"0022-1325"</f>
        <v>0022-1325</v>
      </c>
      <c r="E3610" s="5">
        <v>1.5089999999999999</v>
      </c>
      <c r="F3610" s="5">
        <v>0.317</v>
      </c>
    </row>
    <row r="3611" spans="2:6" x14ac:dyDescent="0.2">
      <c r="B3611" s="9" t="s">
        <v>7404</v>
      </c>
      <c r="C3611" s="15" t="s">
        <v>3282</v>
      </c>
      <c r="D3611" s="12" t="str">
        <f>"0884-8734"</f>
        <v>0884-8734</v>
      </c>
      <c r="E3611" s="5">
        <v>5.1280000000000001</v>
      </c>
      <c r="F3611" s="5">
        <v>0.90700000000000003</v>
      </c>
    </row>
    <row r="3612" spans="2:6" x14ac:dyDescent="0.2">
      <c r="B3612" s="9" t="s">
        <v>7405</v>
      </c>
      <c r="C3612" s="15" t="s">
        <v>3283</v>
      </c>
      <c r="D3612" s="12" t="str">
        <f>"0022-1295"</f>
        <v>0022-1295</v>
      </c>
      <c r="E3612" s="5">
        <v>4.0860000000000003</v>
      </c>
      <c r="F3612" s="5">
        <v>0.79</v>
      </c>
    </row>
    <row r="3613" spans="2:6" x14ac:dyDescent="0.2">
      <c r="B3613" s="9" t="s">
        <v>334</v>
      </c>
      <c r="C3613" s="15" t="s">
        <v>335</v>
      </c>
      <c r="D3613" s="12" t="str">
        <f>"0022-1309"</f>
        <v>0022-1309</v>
      </c>
      <c r="E3613" s="5">
        <v>0.872</v>
      </c>
      <c r="F3613" s="5">
        <v>0.151</v>
      </c>
    </row>
    <row r="3614" spans="2:6" x14ac:dyDescent="0.2">
      <c r="B3614" s="9" t="s">
        <v>7406</v>
      </c>
      <c r="C3614" s="15" t="s">
        <v>3284</v>
      </c>
      <c r="D3614" s="12" t="str">
        <f>"0022-1317"</f>
        <v>0022-1317</v>
      </c>
      <c r="E3614" s="5">
        <v>3.891</v>
      </c>
      <c r="F3614" s="5">
        <v>0.62</v>
      </c>
    </row>
    <row r="3615" spans="2:6" x14ac:dyDescent="0.2">
      <c r="B3615" s="9" t="s">
        <v>10407</v>
      </c>
      <c r="C3615" s="15" t="s">
        <v>10408</v>
      </c>
      <c r="D3615" s="12" t="str">
        <f>"1671-5411"</f>
        <v>1671-5411</v>
      </c>
      <c r="E3615" s="5">
        <v>3.327</v>
      </c>
      <c r="F3615" s="5">
        <v>0.54600000000000004</v>
      </c>
    </row>
    <row r="3616" spans="2:6" x14ac:dyDescent="0.2">
      <c r="B3616" s="9" t="s">
        <v>10409</v>
      </c>
      <c r="C3616" s="15" t="s">
        <v>10410</v>
      </c>
      <c r="D3616" s="12" t="str">
        <f>"1879-4068"</f>
        <v>1879-4068</v>
      </c>
      <c r="E3616" s="5">
        <v>3.5990000000000002</v>
      </c>
      <c r="F3616" s="5">
        <v>0.45300000000000001</v>
      </c>
    </row>
    <row r="3617" spans="2:6" x14ac:dyDescent="0.2">
      <c r="B3617" s="9" t="s">
        <v>10411</v>
      </c>
      <c r="C3617" s="15" t="s">
        <v>10412</v>
      </c>
      <c r="D3617" s="12" t="str">
        <f>"1539-8412"</f>
        <v>1539-8412</v>
      </c>
      <c r="E3617" s="5">
        <v>3.3809999999999998</v>
      </c>
      <c r="F3617" s="5">
        <v>0.89900000000000002</v>
      </c>
    </row>
    <row r="3618" spans="2:6" x14ac:dyDescent="0.2">
      <c r="B3618" s="9" t="s">
        <v>7410</v>
      </c>
      <c r="C3618" s="15" t="s">
        <v>3288</v>
      </c>
      <c r="D3618" s="12" t="str">
        <f>"0891-9887"</f>
        <v>0891-9887</v>
      </c>
      <c r="E3618" s="5">
        <v>2.68</v>
      </c>
      <c r="F3618" s="5">
        <v>0.42599999999999999</v>
      </c>
    </row>
    <row r="3619" spans="2:6" ht="25.5" x14ac:dyDescent="0.2">
      <c r="B3619" s="9" t="s">
        <v>7411</v>
      </c>
      <c r="C3619" s="15" t="s">
        <v>3289</v>
      </c>
      <c r="D3619" s="12" t="str">
        <f>"1079-5006"</f>
        <v>1079-5006</v>
      </c>
      <c r="E3619" s="5">
        <v>6.0529999999999999</v>
      </c>
      <c r="F3619" s="5">
        <v>1</v>
      </c>
    </row>
    <row r="3620" spans="2:6" ht="25.5" x14ac:dyDescent="0.2">
      <c r="B3620" s="9" t="s">
        <v>7412</v>
      </c>
      <c r="C3620" s="15" t="s">
        <v>3290</v>
      </c>
      <c r="D3620" s="12" t="str">
        <f>"1079-5014"</f>
        <v>1079-5014</v>
      </c>
      <c r="E3620" s="5">
        <v>4.077</v>
      </c>
      <c r="F3620" s="5">
        <v>0.88900000000000001</v>
      </c>
    </row>
    <row r="3621" spans="2:6" x14ac:dyDescent="0.2">
      <c r="B3621" s="9" t="s">
        <v>340</v>
      </c>
      <c r="C3621" s="15" t="s">
        <v>341</v>
      </c>
      <c r="D3621" s="12" t="str">
        <f>"0098-9134"</f>
        <v>0098-9134</v>
      </c>
      <c r="E3621" s="5">
        <v>1.254</v>
      </c>
      <c r="F3621" s="5">
        <v>0.23799999999999999</v>
      </c>
    </row>
    <row r="3622" spans="2:6" x14ac:dyDescent="0.2">
      <c r="B3622" s="9" t="s">
        <v>10413</v>
      </c>
      <c r="C3622" s="15" t="s">
        <v>10414</v>
      </c>
      <c r="D3622" s="12" t="str">
        <f>"1226-8453"</f>
        <v>1226-8453</v>
      </c>
      <c r="E3622" s="5">
        <v>6.06</v>
      </c>
      <c r="F3622" s="5">
        <v>1</v>
      </c>
    </row>
    <row r="3623" spans="2:6" x14ac:dyDescent="0.2">
      <c r="B3623" s="9" t="s">
        <v>7413</v>
      </c>
      <c r="C3623" s="15" t="s">
        <v>3291</v>
      </c>
      <c r="D3623" s="12" t="str">
        <f>"1057-0829"</f>
        <v>1057-0829</v>
      </c>
      <c r="E3623" s="5">
        <v>2.5030000000000001</v>
      </c>
      <c r="F3623" s="5">
        <v>0.46800000000000003</v>
      </c>
    </row>
    <row r="3624" spans="2:6" x14ac:dyDescent="0.2">
      <c r="B3624" s="9" t="s">
        <v>10415</v>
      </c>
      <c r="C3624" s="15" t="s">
        <v>10416</v>
      </c>
      <c r="D3624" s="12" t="str">
        <f>"2213-7165"</f>
        <v>2213-7165</v>
      </c>
      <c r="E3624" s="5">
        <v>4.0350000000000001</v>
      </c>
      <c r="F3624" s="5">
        <v>0.64100000000000001</v>
      </c>
    </row>
    <row r="3625" spans="2:6" x14ac:dyDescent="0.2">
      <c r="B3625" s="9" t="s">
        <v>10417</v>
      </c>
      <c r="C3625" s="15" t="s">
        <v>10418</v>
      </c>
      <c r="D3625" s="12" t="str">
        <f>"2047-2978"</f>
        <v>2047-2978</v>
      </c>
      <c r="E3625" s="5">
        <v>4.4130000000000003</v>
      </c>
      <c r="F3625" s="5">
        <v>0.84</v>
      </c>
    </row>
    <row r="3626" spans="2:6" x14ac:dyDescent="0.2">
      <c r="B3626" s="9" t="s">
        <v>342</v>
      </c>
      <c r="C3626" s="15" t="s">
        <v>343</v>
      </c>
      <c r="D3626" s="12" t="str">
        <f>"1062-7375"</f>
        <v>1062-7375</v>
      </c>
      <c r="E3626" s="5">
        <v>1.373</v>
      </c>
      <c r="F3626" s="5">
        <v>0.34100000000000003</v>
      </c>
    </row>
    <row r="3627" spans="2:6" x14ac:dyDescent="0.2">
      <c r="B3627" s="9" t="s">
        <v>10419</v>
      </c>
      <c r="C3627" s="15" t="s">
        <v>10420</v>
      </c>
      <c r="D3627" s="12" t="str">
        <f>"1097-198X"</f>
        <v>1097-198X</v>
      </c>
      <c r="E3627" s="5">
        <v>3.5190000000000001</v>
      </c>
      <c r="F3627" s="5">
        <v>0.67100000000000004</v>
      </c>
    </row>
    <row r="3628" spans="2:6" x14ac:dyDescent="0.2">
      <c r="B3628" s="9" t="s">
        <v>10421</v>
      </c>
      <c r="C3628" s="15" t="s">
        <v>10422</v>
      </c>
      <c r="D3628" s="12" t="str">
        <f>"2468-7847"</f>
        <v>2468-7847</v>
      </c>
      <c r="E3628" s="5">
        <v>1.6910000000000001</v>
      </c>
      <c r="F3628" s="5">
        <v>0.13300000000000001</v>
      </c>
    </row>
    <row r="3629" spans="2:6" x14ac:dyDescent="0.2">
      <c r="B3629" s="9" t="s">
        <v>10423</v>
      </c>
      <c r="C3629" s="15" t="s">
        <v>10424</v>
      </c>
      <c r="D3629" s="12" t="str">
        <f>"2005-0380"</f>
        <v>2005-0380</v>
      </c>
      <c r="E3629" s="5">
        <v>4.4009999999999998</v>
      </c>
      <c r="F3629" s="5">
        <v>0.89200000000000002</v>
      </c>
    </row>
    <row r="3630" spans="2:6" x14ac:dyDescent="0.2">
      <c r="B3630" s="9" t="s">
        <v>7414</v>
      </c>
      <c r="C3630" s="15" t="s">
        <v>3292</v>
      </c>
      <c r="D3630" s="12" t="str">
        <f>"0363-5023"</f>
        <v>0363-5023</v>
      </c>
      <c r="E3630" s="5">
        <v>2.23</v>
      </c>
      <c r="F3630" s="5">
        <v>0.44800000000000001</v>
      </c>
    </row>
    <row r="3631" spans="2:6" x14ac:dyDescent="0.2">
      <c r="B3631" s="9" t="s">
        <v>344</v>
      </c>
      <c r="C3631" s="15" t="s">
        <v>345</v>
      </c>
      <c r="D3631" s="12" t="str">
        <f>"1753-1934"</f>
        <v>1753-1934</v>
      </c>
      <c r="E3631" s="5">
        <v>2.6880000000000002</v>
      </c>
      <c r="F3631" s="5">
        <v>0.56799999999999995</v>
      </c>
    </row>
    <row r="3632" spans="2:6" x14ac:dyDescent="0.2">
      <c r="B3632" s="9" t="s">
        <v>346</v>
      </c>
      <c r="C3632" s="15" t="s">
        <v>347</v>
      </c>
      <c r="D3632" s="12" t="str">
        <f>"0894-1130"</f>
        <v>0894-1130</v>
      </c>
      <c r="E3632" s="5">
        <v>1.95</v>
      </c>
      <c r="F3632" s="5">
        <v>0.437</v>
      </c>
    </row>
    <row r="3633" spans="2:6" x14ac:dyDescent="0.2">
      <c r="B3633" s="9" t="s">
        <v>10425</v>
      </c>
      <c r="C3633" s="15" t="s">
        <v>10426</v>
      </c>
      <c r="D3633" s="12" t="str">
        <f>"1389-4978"</f>
        <v>1389-4978</v>
      </c>
      <c r="E3633" s="5">
        <v>3.8519999999999999</v>
      </c>
      <c r="F3633" s="5">
        <v>0.89900000000000002</v>
      </c>
    </row>
    <row r="3634" spans="2:6" x14ac:dyDescent="0.2">
      <c r="B3634" s="9" t="s">
        <v>10427</v>
      </c>
      <c r="C3634" s="15" t="s">
        <v>10428</v>
      </c>
      <c r="D3634" s="12" t="str">
        <f>"1341-7649"</f>
        <v>1341-7649</v>
      </c>
      <c r="E3634" s="5">
        <v>0.34300000000000003</v>
      </c>
      <c r="F3634" s="5">
        <v>1.0999999999999999E-2</v>
      </c>
    </row>
    <row r="3635" spans="2:6" x14ac:dyDescent="0.2">
      <c r="B3635" s="9" t="s">
        <v>350</v>
      </c>
      <c r="C3635" s="15" t="s">
        <v>351</v>
      </c>
      <c r="D3635" s="12" t="str">
        <f>"1129-2369"</f>
        <v>1129-2369</v>
      </c>
      <c r="E3635" s="5">
        <v>7.2770000000000001</v>
      </c>
      <c r="F3635" s="5">
        <v>0.90900000000000003</v>
      </c>
    </row>
    <row r="3636" spans="2:6" x14ac:dyDescent="0.2">
      <c r="B3636" s="9" t="s">
        <v>348</v>
      </c>
      <c r="C3636" s="15" t="s">
        <v>349</v>
      </c>
      <c r="D3636" s="12" t="str">
        <f>"0885-9701"</f>
        <v>0885-9701</v>
      </c>
      <c r="E3636" s="5">
        <v>2.71</v>
      </c>
      <c r="F3636" s="5">
        <v>0.73099999999999998</v>
      </c>
    </row>
    <row r="3637" spans="2:6" x14ac:dyDescent="0.2">
      <c r="B3637" s="9" t="s">
        <v>352</v>
      </c>
      <c r="C3637" s="15" t="s">
        <v>353</v>
      </c>
      <c r="D3637" s="12" t="str">
        <f>"1049-2089"</f>
        <v>1049-2089</v>
      </c>
      <c r="E3637" s="5">
        <v>1.4490000000000001</v>
      </c>
      <c r="F3637" s="5">
        <v>0.18099999999999999</v>
      </c>
    </row>
    <row r="3638" spans="2:6" x14ac:dyDescent="0.2">
      <c r="B3638" s="9" t="s">
        <v>10429</v>
      </c>
      <c r="C3638" s="15" t="s">
        <v>10430</v>
      </c>
      <c r="D3638" s="12" t="str">
        <f>"2040-2295"</f>
        <v>2040-2295</v>
      </c>
      <c r="E3638" s="5">
        <v>2.6819999999999999</v>
      </c>
      <c r="F3638" s="5">
        <v>0.51400000000000001</v>
      </c>
    </row>
    <row r="3639" spans="2:6" x14ac:dyDescent="0.2">
      <c r="B3639" s="9" t="s">
        <v>360</v>
      </c>
      <c r="C3639" s="15" t="s">
        <v>361</v>
      </c>
      <c r="D3639" s="12" t="str">
        <f>"1096-9012"</f>
        <v>1096-9012</v>
      </c>
      <c r="E3639" s="5">
        <v>1.5069999999999999</v>
      </c>
      <c r="F3639" s="5">
        <v>0.13600000000000001</v>
      </c>
    </row>
    <row r="3640" spans="2:6" x14ac:dyDescent="0.2">
      <c r="B3640" s="9" t="s">
        <v>354</v>
      </c>
      <c r="C3640" s="15" t="s">
        <v>355</v>
      </c>
      <c r="D3640" s="12" t="str">
        <f>"1087-0415"</f>
        <v>1087-0415</v>
      </c>
      <c r="E3640" s="5">
        <v>2.7810000000000001</v>
      </c>
      <c r="F3640" s="5">
        <v>0.6</v>
      </c>
    </row>
    <row r="3641" spans="2:6" x14ac:dyDescent="0.2">
      <c r="B3641" s="9" t="s">
        <v>10431</v>
      </c>
      <c r="C3641" s="15" t="s">
        <v>10432</v>
      </c>
      <c r="D3641" s="12" t="str">
        <f>"1062-2551"</f>
        <v>1062-2551</v>
      </c>
      <c r="E3641" s="5">
        <v>1.095</v>
      </c>
      <c r="F3641" s="5">
        <v>5.7000000000000002E-2</v>
      </c>
    </row>
    <row r="3642" spans="2:6" x14ac:dyDescent="0.2">
      <c r="B3642" s="9" t="s">
        <v>7415</v>
      </c>
      <c r="C3642" s="15" t="s">
        <v>3293</v>
      </c>
      <c r="D3642" s="12" t="str">
        <f>"0167-6296"</f>
        <v>0167-6296</v>
      </c>
      <c r="E3642" s="5">
        <v>3.883</v>
      </c>
      <c r="F3642" s="5">
        <v>0.875</v>
      </c>
    </row>
    <row r="3643" spans="2:6" x14ac:dyDescent="0.2">
      <c r="B3643" s="9" t="s">
        <v>10433</v>
      </c>
      <c r="C3643" s="15" t="s">
        <v>10434</v>
      </c>
      <c r="D3643" s="12" t="str">
        <f>"1477-7266"</f>
        <v>1477-7266</v>
      </c>
      <c r="E3643" s="5">
        <v>1.4570000000000001</v>
      </c>
      <c r="F3643" s="5">
        <v>0.114</v>
      </c>
    </row>
    <row r="3644" spans="2:6" x14ac:dyDescent="0.2">
      <c r="B3644" s="9" t="s">
        <v>7416</v>
      </c>
      <c r="C3644" s="15" t="s">
        <v>3294</v>
      </c>
      <c r="D3644" s="12" t="str">
        <f>"0361-6878"</f>
        <v>0361-6878</v>
      </c>
      <c r="E3644" s="5">
        <v>2.2650000000000001</v>
      </c>
      <c r="F3644" s="5">
        <v>0.52300000000000002</v>
      </c>
    </row>
    <row r="3645" spans="2:6" x14ac:dyDescent="0.2">
      <c r="B3645" s="9" t="s">
        <v>7417</v>
      </c>
      <c r="C3645" s="15" t="s">
        <v>3295</v>
      </c>
      <c r="D3645" s="12" t="str">
        <f>"1606-0997"</f>
        <v>1606-0997</v>
      </c>
      <c r="E3645" s="5">
        <v>2</v>
      </c>
      <c r="F3645" s="5">
        <v>0.35799999999999998</v>
      </c>
    </row>
    <row r="3646" spans="2:6" x14ac:dyDescent="0.2">
      <c r="B3646" s="9" t="s">
        <v>356</v>
      </c>
      <c r="C3646" s="15" t="s">
        <v>357</v>
      </c>
      <c r="D3646" s="12" t="str">
        <f>"1359-1053"</f>
        <v>1359-1053</v>
      </c>
      <c r="E3646" s="5">
        <v>3.2309999999999999</v>
      </c>
      <c r="F3646" s="5">
        <v>0.58499999999999996</v>
      </c>
    </row>
    <row r="3647" spans="2:6" x14ac:dyDescent="0.2">
      <c r="B3647" s="9" t="s">
        <v>10435</v>
      </c>
      <c r="C3647" s="15" t="s">
        <v>10436</v>
      </c>
      <c r="D3647" s="12" t="str">
        <f>"1355-8196"</f>
        <v>1355-8196</v>
      </c>
      <c r="E3647" s="5">
        <v>2.492</v>
      </c>
      <c r="F3647" s="5">
        <v>0.46600000000000003</v>
      </c>
    </row>
    <row r="3648" spans="2:6" x14ac:dyDescent="0.2">
      <c r="B3648" s="9" t="s">
        <v>358</v>
      </c>
      <c r="C3648" s="15" t="s">
        <v>359</v>
      </c>
      <c r="D3648" s="12" t="str">
        <f>"0022-1465"</f>
        <v>0022-1465</v>
      </c>
      <c r="E3648" s="5">
        <v>4.4619999999999997</v>
      </c>
      <c r="F3648" s="5">
        <v>0.93300000000000005</v>
      </c>
    </row>
    <row r="3649" spans="2:6" x14ac:dyDescent="0.2">
      <c r="B3649" s="9" t="s">
        <v>7418</v>
      </c>
      <c r="C3649" s="15" t="s">
        <v>3296</v>
      </c>
      <c r="D3649" s="12" t="str">
        <f>"1053-2498"</f>
        <v>1053-2498</v>
      </c>
      <c r="E3649" s="5">
        <v>10.247</v>
      </c>
      <c r="F3649" s="5">
        <v>1</v>
      </c>
    </row>
    <row r="3650" spans="2:6" x14ac:dyDescent="0.2">
      <c r="B3650" s="9" t="s">
        <v>6530</v>
      </c>
      <c r="C3650" s="15" t="s">
        <v>3297</v>
      </c>
      <c r="D3650" s="12" t="str">
        <f>"0022-1481"</f>
        <v>0022-1481</v>
      </c>
      <c r="E3650" s="5">
        <v>2.0209999999999999</v>
      </c>
      <c r="F3650" s="5">
        <v>0.44400000000000001</v>
      </c>
    </row>
    <row r="3651" spans="2:6" x14ac:dyDescent="0.2">
      <c r="B3651" s="9" t="s">
        <v>10437</v>
      </c>
      <c r="C3651" s="15" t="s">
        <v>10438</v>
      </c>
      <c r="D3651" s="12" t="str">
        <f>"1792-2720"</f>
        <v>1792-2720</v>
      </c>
      <c r="E3651" s="5">
        <v>0.47699999999999998</v>
      </c>
      <c r="F3651" s="5">
        <v>0.14399999999999999</v>
      </c>
    </row>
    <row r="3652" spans="2:6" x14ac:dyDescent="0.2">
      <c r="B3652" s="9" t="s">
        <v>6531</v>
      </c>
      <c r="C3652" s="15" t="s">
        <v>3298</v>
      </c>
      <c r="D3652" s="12" t="str">
        <f>"0022-149X"</f>
        <v>0022-149X</v>
      </c>
      <c r="E3652" s="5">
        <v>2.17</v>
      </c>
      <c r="F3652" s="5">
        <v>0.72399999999999998</v>
      </c>
    </row>
    <row r="3653" spans="2:6" x14ac:dyDescent="0.2">
      <c r="B3653" s="9" t="s">
        <v>362</v>
      </c>
      <c r="C3653" s="15" t="s">
        <v>363</v>
      </c>
      <c r="D3653" s="12" t="str">
        <f>"1756-8722"</f>
        <v>1756-8722</v>
      </c>
      <c r="E3653" s="5">
        <v>17.388000000000002</v>
      </c>
      <c r="F3653" s="5">
        <v>0.97399999999999998</v>
      </c>
    </row>
    <row r="3654" spans="2:6" x14ac:dyDescent="0.2">
      <c r="B3654" s="9" t="s">
        <v>10439</v>
      </c>
      <c r="C3654" s="15" t="s">
        <v>10440</v>
      </c>
      <c r="D3654" s="12" t="str">
        <f>"1868-9256"</f>
        <v>1868-9256</v>
      </c>
      <c r="E3654" s="5">
        <v>0.19600000000000001</v>
      </c>
      <c r="F3654" s="5">
        <v>2.5999999999999999E-2</v>
      </c>
    </row>
    <row r="3655" spans="2:6" x14ac:dyDescent="0.2">
      <c r="B3655" s="9" t="s">
        <v>10441</v>
      </c>
      <c r="C3655" s="15" t="s">
        <v>10442</v>
      </c>
      <c r="D3655" s="12" t="str">
        <f>"1868-6974"</f>
        <v>1868-6974</v>
      </c>
      <c r="E3655" s="5">
        <v>7.0270000000000001</v>
      </c>
      <c r="F3655" s="5">
        <v>0.95699999999999996</v>
      </c>
    </row>
    <row r="3656" spans="2:6" x14ac:dyDescent="0.2">
      <c r="B3656" s="9" t="s">
        <v>10443</v>
      </c>
      <c r="C3656" s="15" t="s">
        <v>10444</v>
      </c>
      <c r="D3656" s="12" t="str">
        <f>"2253-5969"</f>
        <v>2253-5969</v>
      </c>
      <c r="E3656" s="5">
        <v>5.8280000000000003</v>
      </c>
      <c r="F3656" s="5">
        <v>0.71799999999999997</v>
      </c>
    </row>
    <row r="3657" spans="2:6" x14ac:dyDescent="0.2">
      <c r="B3657" s="9" t="s">
        <v>6532</v>
      </c>
      <c r="C3657" s="15" t="s">
        <v>3299</v>
      </c>
      <c r="D3657" s="12" t="str">
        <f>"0168-8278"</f>
        <v>0168-8278</v>
      </c>
      <c r="E3657" s="5">
        <v>25.082999999999998</v>
      </c>
      <c r="F3657" s="5">
        <v>0.98899999999999999</v>
      </c>
    </row>
    <row r="3658" spans="2:6" x14ac:dyDescent="0.2">
      <c r="B3658" s="9" t="s">
        <v>10445</v>
      </c>
      <c r="C3658" s="15" t="s">
        <v>10446</v>
      </c>
      <c r="D3658" s="12" t="str">
        <f>"2210-8033"</f>
        <v>2210-8033</v>
      </c>
      <c r="E3658" s="5">
        <v>3.032</v>
      </c>
      <c r="F3658" s="5">
        <v>0.67900000000000005</v>
      </c>
    </row>
    <row r="3659" spans="2:6" x14ac:dyDescent="0.2">
      <c r="B3659" s="9" t="s">
        <v>6533</v>
      </c>
      <c r="C3659" s="15" t="s">
        <v>3300</v>
      </c>
      <c r="D3659" s="12" t="str">
        <f>"0022-1503"</f>
        <v>0022-1503</v>
      </c>
      <c r="E3659" s="5">
        <v>2.645</v>
      </c>
      <c r="F3659" s="5">
        <v>0.42</v>
      </c>
    </row>
    <row r="3660" spans="2:6" x14ac:dyDescent="0.2">
      <c r="B3660" s="9" t="s">
        <v>6534</v>
      </c>
      <c r="C3660" s="15" t="s">
        <v>3301</v>
      </c>
      <c r="D3660" s="12" t="str">
        <f>"0022-152X"</f>
        <v>0022-152X</v>
      </c>
      <c r="E3660" s="5">
        <v>2.1930000000000001</v>
      </c>
      <c r="F3660" s="5">
        <v>0.439</v>
      </c>
    </row>
    <row r="3661" spans="2:6" x14ac:dyDescent="0.2">
      <c r="B3661" s="9" t="s">
        <v>10447</v>
      </c>
      <c r="C3661" s="15" t="s">
        <v>10448</v>
      </c>
      <c r="D3661" s="12" t="str">
        <f>"2054-8397"</f>
        <v>2054-8397</v>
      </c>
      <c r="E3661" s="5">
        <v>1.8720000000000001</v>
      </c>
      <c r="F3661" s="5">
        <v>0.309</v>
      </c>
    </row>
    <row r="3662" spans="2:6" x14ac:dyDescent="0.2">
      <c r="B3662" s="9" t="s">
        <v>6535</v>
      </c>
      <c r="C3662" s="15" t="s">
        <v>3302</v>
      </c>
      <c r="D3662" s="12" t="str">
        <f>"0021-8286"</f>
        <v>0021-8286</v>
      </c>
      <c r="E3662" s="5">
        <v>0.39500000000000002</v>
      </c>
      <c r="F3662" s="5">
        <v>0.14899999999999999</v>
      </c>
    </row>
    <row r="3663" spans="2:6" x14ac:dyDescent="0.2">
      <c r="B3663" s="9" t="s">
        <v>6536</v>
      </c>
      <c r="C3663" s="15" t="s">
        <v>3303</v>
      </c>
      <c r="D3663" s="12" t="str">
        <f>"0022-5010"</f>
        <v>0022-5010</v>
      </c>
      <c r="E3663" s="5">
        <v>1.3260000000000001</v>
      </c>
      <c r="F3663" s="5">
        <v>0.67600000000000005</v>
      </c>
    </row>
    <row r="3664" spans="2:6" x14ac:dyDescent="0.2">
      <c r="B3664" s="9" t="s">
        <v>6537</v>
      </c>
      <c r="C3664" s="15" t="s">
        <v>3304</v>
      </c>
      <c r="D3664" s="12" t="str">
        <f>"0022-5045"</f>
        <v>0022-5045</v>
      </c>
      <c r="E3664" s="5">
        <v>2.0880000000000001</v>
      </c>
      <c r="F3664" s="5">
        <v>0.82399999999999995</v>
      </c>
    </row>
    <row r="3665" spans="2:6" x14ac:dyDescent="0.2">
      <c r="B3665" s="9" t="s">
        <v>364</v>
      </c>
      <c r="C3665" s="15" t="s">
        <v>365</v>
      </c>
      <c r="D3665" s="12" t="str">
        <f>"0964-704X"</f>
        <v>0964-704X</v>
      </c>
      <c r="E3665" s="5">
        <v>0.52900000000000003</v>
      </c>
      <c r="F3665" s="5">
        <v>0.25700000000000001</v>
      </c>
    </row>
    <row r="3666" spans="2:6" x14ac:dyDescent="0.2">
      <c r="B3666" s="9" t="s">
        <v>6538</v>
      </c>
      <c r="C3666" s="15" t="s">
        <v>3305</v>
      </c>
      <c r="D3666" s="12" t="str">
        <f>"0022-1554"</f>
        <v>0022-1554</v>
      </c>
      <c r="E3666" s="5">
        <v>2.4790000000000001</v>
      </c>
      <c r="F3666" s="5">
        <v>0.21199999999999999</v>
      </c>
    </row>
    <row r="3667" spans="2:6" x14ac:dyDescent="0.2">
      <c r="B3667" s="9" t="s">
        <v>6539</v>
      </c>
      <c r="C3667" s="15" t="s">
        <v>3306</v>
      </c>
      <c r="D3667" s="12" t="str">
        <f>"0147-8885"</f>
        <v>0147-8885</v>
      </c>
      <c r="E3667" s="5">
        <v>0.71399999999999997</v>
      </c>
      <c r="F3667" s="5">
        <v>2.1000000000000001E-2</v>
      </c>
    </row>
    <row r="3668" spans="2:6" x14ac:dyDescent="0.2">
      <c r="B3668" s="9" t="s">
        <v>366</v>
      </c>
      <c r="C3668" s="15" t="s">
        <v>367</v>
      </c>
      <c r="D3668" s="12" t="str">
        <f>"0091-8369"</f>
        <v>0091-8369</v>
      </c>
      <c r="E3668" s="5">
        <v>2.952</v>
      </c>
      <c r="F3668" s="5">
        <v>0.79800000000000004</v>
      </c>
    </row>
    <row r="3669" spans="2:6" x14ac:dyDescent="0.2">
      <c r="B3669" s="9" t="s">
        <v>6540</v>
      </c>
      <c r="C3669" s="15" t="s">
        <v>3307</v>
      </c>
      <c r="D3669" s="12" t="str">
        <f>"0195-6701"</f>
        <v>0195-6701</v>
      </c>
      <c r="E3669" s="5">
        <v>3.9260000000000002</v>
      </c>
      <c r="F3669" s="5">
        <v>0.78500000000000003</v>
      </c>
    </row>
    <row r="3670" spans="2:6" x14ac:dyDescent="0.2">
      <c r="B3670" s="9" t="s">
        <v>368</v>
      </c>
      <c r="C3670" s="15" t="s">
        <v>369</v>
      </c>
      <c r="D3670" s="12" t="str">
        <f>"1553-5606"</f>
        <v>1553-5606</v>
      </c>
      <c r="E3670" s="5">
        <v>2.96</v>
      </c>
      <c r="F3670" s="5">
        <v>0.66500000000000004</v>
      </c>
    </row>
    <row r="3671" spans="2:6" x14ac:dyDescent="0.2">
      <c r="B3671" s="9" t="s">
        <v>10449</v>
      </c>
      <c r="C3671" s="15" t="s">
        <v>10450</v>
      </c>
      <c r="D3671" s="12" t="str">
        <f>"1522-2179"</f>
        <v>1522-2179</v>
      </c>
      <c r="E3671" s="5">
        <v>1.9179999999999999</v>
      </c>
      <c r="F3671" s="5">
        <v>0.49199999999999999</v>
      </c>
    </row>
    <row r="3672" spans="2:6" x14ac:dyDescent="0.2">
      <c r="B3672" s="9" t="s">
        <v>372</v>
      </c>
      <c r="C3672" s="15" t="s">
        <v>373</v>
      </c>
      <c r="D3672" s="12" t="str">
        <f>"0022-1678"</f>
        <v>0022-1678</v>
      </c>
      <c r="E3672" s="5">
        <v>2.0390000000000001</v>
      </c>
      <c r="F3672" s="5">
        <v>0.46800000000000003</v>
      </c>
    </row>
    <row r="3673" spans="2:6" x14ac:dyDescent="0.2">
      <c r="B3673" s="9" t="s">
        <v>6541</v>
      </c>
      <c r="C3673" s="15" t="s">
        <v>3308</v>
      </c>
      <c r="D3673" s="12" t="str">
        <f>"1434-5161"</f>
        <v>1434-5161</v>
      </c>
      <c r="E3673" s="5">
        <v>3.1720000000000002</v>
      </c>
      <c r="F3673" s="5">
        <v>0.48</v>
      </c>
    </row>
    <row r="3674" spans="2:6" x14ac:dyDescent="0.2">
      <c r="B3674" s="9" t="s">
        <v>6542</v>
      </c>
      <c r="C3674" s="15" t="s">
        <v>3309</v>
      </c>
      <c r="D3674" s="12" t="str">
        <f>"0950-9240"</f>
        <v>0950-9240</v>
      </c>
      <c r="E3674" s="5">
        <v>3.012</v>
      </c>
      <c r="F3674" s="5">
        <v>0.50800000000000001</v>
      </c>
    </row>
    <row r="3675" spans="2:6" x14ac:dyDescent="0.2">
      <c r="B3675" s="9" t="s">
        <v>370</v>
      </c>
      <c r="C3675" s="15" t="s">
        <v>371</v>
      </c>
      <c r="D3675" s="12" t="str">
        <f>"1640-5544"</f>
        <v>1640-5544</v>
      </c>
      <c r="E3675" s="5">
        <v>2.1930000000000001</v>
      </c>
      <c r="F3675" s="5">
        <v>0.375</v>
      </c>
    </row>
    <row r="3676" spans="2:6" x14ac:dyDescent="0.2">
      <c r="B3676" s="9" t="s">
        <v>6543</v>
      </c>
      <c r="C3676" s="15" t="s">
        <v>3310</v>
      </c>
      <c r="D3676" s="12" t="str">
        <f>"1552-5732"</f>
        <v>1552-5732</v>
      </c>
      <c r="E3676" s="5">
        <v>2.2189999999999999</v>
      </c>
      <c r="F3676" s="5">
        <v>0.65900000000000003</v>
      </c>
    </row>
    <row r="3677" spans="2:6" x14ac:dyDescent="0.2">
      <c r="B3677" s="9" t="s">
        <v>6544</v>
      </c>
      <c r="C3677" s="15" t="s">
        <v>3311</v>
      </c>
      <c r="D3677" s="12" t="str">
        <f>"0952-3871"</f>
        <v>0952-3871</v>
      </c>
      <c r="E3677" s="5">
        <v>3.089</v>
      </c>
      <c r="F3677" s="5">
        <v>0.35199999999999998</v>
      </c>
    </row>
    <row r="3678" spans="2:6" x14ac:dyDescent="0.2">
      <c r="B3678" s="9" t="s">
        <v>10451</v>
      </c>
      <c r="C3678" s="15" t="s">
        <v>10452</v>
      </c>
      <c r="D3678" s="12" t="str">
        <f>"0733-9429"</f>
        <v>0733-9429</v>
      </c>
      <c r="E3678" s="5">
        <v>2.8170000000000002</v>
      </c>
      <c r="F3678" s="5">
        <v>0.61699999999999999</v>
      </c>
    </row>
    <row r="3679" spans="2:6" x14ac:dyDescent="0.2">
      <c r="B3679" s="9" t="s">
        <v>374</v>
      </c>
      <c r="C3679" s="15" t="s">
        <v>375</v>
      </c>
      <c r="D3679" s="12" t="str">
        <f>"1464-7141"</f>
        <v>1464-7141</v>
      </c>
      <c r="E3679" s="5">
        <v>2.3759999999999999</v>
      </c>
      <c r="F3679" s="5">
        <v>0.47799999999999998</v>
      </c>
    </row>
    <row r="3680" spans="2:6" x14ac:dyDescent="0.2">
      <c r="B3680" s="9" t="s">
        <v>6545</v>
      </c>
      <c r="C3680" s="15" t="s">
        <v>3312</v>
      </c>
      <c r="D3680" s="12" t="str">
        <f>"0263-6352"</f>
        <v>0263-6352</v>
      </c>
      <c r="E3680" s="5">
        <v>4.8440000000000003</v>
      </c>
      <c r="F3680" s="5">
        <v>0.754</v>
      </c>
    </row>
    <row r="3681" spans="2:6" x14ac:dyDescent="0.2">
      <c r="B3681" s="9" t="s">
        <v>10453</v>
      </c>
      <c r="C3681" s="15" t="s">
        <v>10454</v>
      </c>
      <c r="D3681" s="12" t="str">
        <f>"1557-1912"</f>
        <v>1557-1912</v>
      </c>
      <c r="E3681" s="5">
        <v>1.9550000000000001</v>
      </c>
      <c r="F3681" s="5">
        <v>0.33800000000000002</v>
      </c>
    </row>
    <row r="3682" spans="2:6" x14ac:dyDescent="0.2">
      <c r="B3682" s="9" t="s">
        <v>10455</v>
      </c>
      <c r="C3682" s="15" t="s">
        <v>10456</v>
      </c>
      <c r="D3682" s="12" t="str">
        <f>"1556-2948"</f>
        <v>1556-2948</v>
      </c>
      <c r="E3682" s="5">
        <v>3.5470000000000002</v>
      </c>
      <c r="F3682" s="5">
        <v>0.95</v>
      </c>
    </row>
    <row r="3683" spans="2:6" x14ac:dyDescent="0.2">
      <c r="B3683" s="9" t="s">
        <v>6546</v>
      </c>
      <c r="C3683" s="15" t="s">
        <v>3313</v>
      </c>
      <c r="D3683" s="12" t="str">
        <f>"0022-1767"</f>
        <v>0022-1767</v>
      </c>
      <c r="E3683" s="5">
        <v>5.4219999999999997</v>
      </c>
      <c r="F3683" s="5">
        <v>0.69099999999999995</v>
      </c>
    </row>
    <row r="3684" spans="2:6" x14ac:dyDescent="0.2">
      <c r="B3684" s="9" t="s">
        <v>6547</v>
      </c>
      <c r="C3684" s="15" t="s">
        <v>3314</v>
      </c>
      <c r="D3684" s="12" t="str">
        <f>"0022-1759"</f>
        <v>0022-1759</v>
      </c>
      <c r="E3684" s="5">
        <v>2.3029999999999999</v>
      </c>
      <c r="F3684" s="5">
        <v>0.312</v>
      </c>
    </row>
    <row r="3685" spans="2:6" x14ac:dyDescent="0.2">
      <c r="B3685" s="9" t="s">
        <v>10457</v>
      </c>
      <c r="C3685" s="15" t="s">
        <v>10458</v>
      </c>
      <c r="D3685" s="12" t="str">
        <f>"2314-8861"</f>
        <v>2314-8861</v>
      </c>
      <c r="E3685" s="5">
        <v>4.8179999999999996</v>
      </c>
      <c r="F3685" s="5">
        <v>0.60499999999999998</v>
      </c>
    </row>
    <row r="3686" spans="2:6" x14ac:dyDescent="0.2">
      <c r="B3686" s="9" t="s">
        <v>6548</v>
      </c>
      <c r="C3686" s="15" t="s">
        <v>3315</v>
      </c>
      <c r="D3686" s="12" t="str">
        <f>"1524-9557"</f>
        <v>1524-9557</v>
      </c>
      <c r="E3686" s="5">
        <v>4.4560000000000004</v>
      </c>
      <c r="F3686" s="5">
        <v>0.56399999999999995</v>
      </c>
    </row>
    <row r="3687" spans="2:6" x14ac:dyDescent="0.2">
      <c r="B3687" s="9" t="s">
        <v>10459</v>
      </c>
      <c r="C3687" s="15" t="s">
        <v>10460</v>
      </c>
      <c r="D3687" s="12" t="str">
        <f>"2051-1426"</f>
        <v>2051-1426</v>
      </c>
      <c r="E3687" s="5">
        <v>13.750999999999999</v>
      </c>
      <c r="F3687" s="5">
        <v>0.95699999999999996</v>
      </c>
    </row>
    <row r="3688" spans="2:6" x14ac:dyDescent="0.2">
      <c r="B3688" s="9" t="s">
        <v>376</v>
      </c>
      <c r="C3688" s="15" t="s">
        <v>377</v>
      </c>
      <c r="D3688" s="12" t="str">
        <f>"1547-691X"</f>
        <v>1547-691X</v>
      </c>
      <c r="E3688" s="5">
        <v>3</v>
      </c>
      <c r="F3688" s="5">
        <v>0.38700000000000001</v>
      </c>
    </row>
    <row r="3689" spans="2:6" x14ac:dyDescent="0.2">
      <c r="B3689" s="9" t="s">
        <v>6549</v>
      </c>
      <c r="C3689" s="15" t="s">
        <v>3316</v>
      </c>
      <c r="D3689" s="12" t="str">
        <f>"1388-3127"</f>
        <v>1388-3127</v>
      </c>
      <c r="E3689" s="5">
        <v>1.633</v>
      </c>
      <c r="F3689" s="5">
        <v>0.27500000000000002</v>
      </c>
    </row>
    <row r="3690" spans="2:6" x14ac:dyDescent="0.2">
      <c r="B3690" s="9" t="s">
        <v>6550</v>
      </c>
      <c r="C3690" s="15" t="s">
        <v>3317</v>
      </c>
      <c r="D3690" s="12" t="str">
        <f>"1226-086X"</f>
        <v>1226-086X</v>
      </c>
      <c r="E3690" s="5">
        <v>6.0640000000000001</v>
      </c>
      <c r="F3690" s="5">
        <v>0.84599999999999997</v>
      </c>
    </row>
    <row r="3691" spans="2:6" x14ac:dyDescent="0.2">
      <c r="B3691" s="9" t="s">
        <v>378</v>
      </c>
      <c r="C3691" s="15" t="s">
        <v>379</v>
      </c>
      <c r="D3691" s="12" t="str">
        <f>"0019-4522"</f>
        <v>0019-4522</v>
      </c>
      <c r="E3691" s="5">
        <v>0.28399999999999997</v>
      </c>
      <c r="F3691" s="5">
        <v>1.0999999999999999E-2</v>
      </c>
    </row>
    <row r="3692" spans="2:6" x14ac:dyDescent="0.2">
      <c r="B3692" s="9" t="s">
        <v>10461</v>
      </c>
      <c r="C3692" s="15" t="s">
        <v>10462</v>
      </c>
      <c r="D3692" s="12" t="str">
        <f>"0970-4140"</f>
        <v>0970-4140</v>
      </c>
      <c r="E3692" s="5">
        <v>1.742</v>
      </c>
      <c r="F3692" s="5">
        <v>0.38900000000000001</v>
      </c>
    </row>
    <row r="3693" spans="2:6" x14ac:dyDescent="0.2">
      <c r="B3693" s="9" t="s">
        <v>10463</v>
      </c>
      <c r="C3693" s="15" t="s">
        <v>10464</v>
      </c>
      <c r="D3693" s="12" t="str">
        <f>"2467-964X"</f>
        <v>2467-964X</v>
      </c>
      <c r="E3693" s="5">
        <v>10.063000000000001</v>
      </c>
      <c r="F3693" s="5">
        <v>0.98</v>
      </c>
    </row>
    <row r="3694" spans="2:6" x14ac:dyDescent="0.2">
      <c r="B3694" s="9" t="s">
        <v>10465</v>
      </c>
      <c r="C3694" s="15" t="s">
        <v>10466</v>
      </c>
      <c r="D3694" s="12" t="str">
        <f>"1614-0001"</f>
        <v>1614-0001</v>
      </c>
      <c r="E3694" s="5">
        <v>2.077</v>
      </c>
      <c r="F3694" s="5">
        <v>0.34399999999999997</v>
      </c>
    </row>
    <row r="3695" spans="2:6" x14ac:dyDescent="0.2">
      <c r="B3695" s="9" t="s">
        <v>6551</v>
      </c>
      <c r="C3695" s="15" t="s">
        <v>3318</v>
      </c>
      <c r="D3695" s="12" t="str">
        <f>"1367-5435"</f>
        <v>1367-5435</v>
      </c>
      <c r="E3695" s="5">
        <v>3.3460000000000001</v>
      </c>
      <c r="F3695" s="5">
        <v>0.55700000000000005</v>
      </c>
    </row>
    <row r="3696" spans="2:6" x14ac:dyDescent="0.2">
      <c r="B3696" s="9" t="s">
        <v>10467</v>
      </c>
      <c r="C3696" s="15" t="s">
        <v>10468</v>
      </c>
      <c r="D3696" s="12" t="str">
        <f>"1341-321X"</f>
        <v>1341-321X</v>
      </c>
      <c r="E3696" s="5">
        <v>2.2109999999999999</v>
      </c>
      <c r="F3696" s="5">
        <v>0.222</v>
      </c>
    </row>
    <row r="3697" spans="2:6" x14ac:dyDescent="0.2">
      <c r="B3697" s="9" t="s">
        <v>10469</v>
      </c>
      <c r="C3697" s="15" t="s">
        <v>10470</v>
      </c>
      <c r="D3697" s="12" t="str">
        <f>"1972-2680"</f>
        <v>1972-2680</v>
      </c>
      <c r="E3697" s="5">
        <v>0.96799999999999997</v>
      </c>
      <c r="F3697" s="5">
        <v>5.3999999999999999E-2</v>
      </c>
    </row>
    <row r="3698" spans="2:6" x14ac:dyDescent="0.2">
      <c r="B3698" s="9" t="s">
        <v>6552</v>
      </c>
      <c r="C3698" s="15" t="s">
        <v>3319</v>
      </c>
      <c r="D3698" s="12" t="str">
        <f>"0022-1899"</f>
        <v>0022-1899</v>
      </c>
      <c r="E3698" s="5">
        <v>5.226</v>
      </c>
      <c r="F3698" s="5">
        <v>0.81499999999999995</v>
      </c>
    </row>
    <row r="3699" spans="2:6" x14ac:dyDescent="0.2">
      <c r="B3699" s="9" t="s">
        <v>6553</v>
      </c>
      <c r="C3699" s="15" t="s">
        <v>3320</v>
      </c>
      <c r="D3699" s="12" t="str">
        <f>"0163-4453"</f>
        <v>0163-4453</v>
      </c>
      <c r="E3699" s="5">
        <v>6.0720000000000001</v>
      </c>
      <c r="F3699" s="5">
        <v>0.90200000000000002</v>
      </c>
    </row>
    <row r="3700" spans="2:6" x14ac:dyDescent="0.2">
      <c r="B3700" s="9" t="s">
        <v>10471</v>
      </c>
      <c r="C3700" s="15" t="s">
        <v>10472</v>
      </c>
      <c r="D3700" s="12" t="str">
        <f>"1876-0341"</f>
        <v>1876-0341</v>
      </c>
      <c r="E3700" s="5">
        <v>3.718</v>
      </c>
      <c r="F3700" s="5">
        <v>0.76800000000000002</v>
      </c>
    </row>
    <row r="3701" spans="2:6" x14ac:dyDescent="0.2">
      <c r="B3701" s="9" t="s">
        <v>10473</v>
      </c>
      <c r="C3701" s="15" t="s">
        <v>10474</v>
      </c>
      <c r="D3701" s="12" t="str">
        <f>"1476-9255"</f>
        <v>1476-9255</v>
      </c>
      <c r="E3701" s="5">
        <v>4.9809999999999999</v>
      </c>
      <c r="F3701" s="5">
        <v>0.64200000000000002</v>
      </c>
    </row>
    <row r="3702" spans="2:6" x14ac:dyDescent="0.2">
      <c r="B3702" s="9" t="s">
        <v>10475</v>
      </c>
      <c r="C3702" s="15" t="s">
        <v>10476</v>
      </c>
      <c r="D3702" s="12" t="str">
        <f>"1178-7031"</f>
        <v>1178-7031</v>
      </c>
      <c r="E3702" s="5">
        <v>6.9219999999999997</v>
      </c>
      <c r="F3702" s="5">
        <v>0.79</v>
      </c>
    </row>
    <row r="3703" spans="2:6" x14ac:dyDescent="0.2">
      <c r="B3703" s="9" t="s">
        <v>10477</v>
      </c>
      <c r="C3703" s="15" t="s">
        <v>10478</v>
      </c>
      <c r="D3703" s="12" t="str">
        <f>"1751-1577"</f>
        <v>1751-1577</v>
      </c>
      <c r="E3703" s="5">
        <v>5.1070000000000002</v>
      </c>
      <c r="F3703" s="5">
        <v>0.8</v>
      </c>
    </row>
    <row r="3704" spans="2:6" x14ac:dyDescent="0.2">
      <c r="B3704" s="9" t="s">
        <v>10479</v>
      </c>
      <c r="C3704" s="15" t="s">
        <v>10480</v>
      </c>
      <c r="D3704" s="12" t="str">
        <f>"1866-6892"</f>
        <v>1866-6892</v>
      </c>
      <c r="E3704" s="5">
        <v>1.768</v>
      </c>
      <c r="F3704" s="5">
        <v>0.33300000000000002</v>
      </c>
    </row>
    <row r="3705" spans="2:6" x14ac:dyDescent="0.2">
      <c r="B3705" s="9" t="s">
        <v>10481</v>
      </c>
      <c r="C3705" s="15" t="s">
        <v>10482</v>
      </c>
      <c r="D3705" s="12" t="str">
        <f>"1001-9014"</f>
        <v>1001-9014</v>
      </c>
      <c r="E3705" s="5">
        <v>0.55700000000000005</v>
      </c>
      <c r="F3705" s="5">
        <v>6.0999999999999999E-2</v>
      </c>
    </row>
    <row r="3706" spans="2:6" x14ac:dyDescent="0.2">
      <c r="B3706" s="9" t="s">
        <v>380</v>
      </c>
      <c r="C3706" s="15" t="s">
        <v>381</v>
      </c>
      <c r="D3706" s="12" t="str">
        <f>"0165-5515"</f>
        <v>0165-5515</v>
      </c>
      <c r="E3706" s="5">
        <v>3.282</v>
      </c>
      <c r="F3706" s="5">
        <v>0.65900000000000003</v>
      </c>
    </row>
    <row r="3707" spans="2:6" x14ac:dyDescent="0.2">
      <c r="B3707" s="9" t="s">
        <v>10483</v>
      </c>
      <c r="C3707" s="15" t="s">
        <v>382</v>
      </c>
      <c r="D3707" s="12" t="str">
        <f>"0268-3962"</f>
        <v>0268-3962</v>
      </c>
      <c r="E3707" s="5">
        <v>5.8239999999999998</v>
      </c>
      <c r="F3707" s="5">
        <v>0.871</v>
      </c>
    </row>
    <row r="3708" spans="2:6" x14ac:dyDescent="0.2">
      <c r="B3708" s="9" t="s">
        <v>6554</v>
      </c>
      <c r="C3708" s="15" t="s">
        <v>3321</v>
      </c>
      <c r="D3708" s="12" t="str">
        <f>"0141-8955"</f>
        <v>0141-8955</v>
      </c>
      <c r="E3708" s="5">
        <v>4.9820000000000002</v>
      </c>
      <c r="F3708" s="5">
        <v>0.77700000000000002</v>
      </c>
    </row>
    <row r="3709" spans="2:6" x14ac:dyDescent="0.2">
      <c r="B3709" s="9" t="s">
        <v>10484</v>
      </c>
      <c r="C3709" s="15" t="s">
        <v>10485</v>
      </c>
      <c r="D3709" s="12" t="str">
        <f>"1662-8128"</f>
        <v>1662-8128</v>
      </c>
      <c r="E3709" s="5">
        <v>7.3490000000000002</v>
      </c>
      <c r="F3709" s="5">
        <v>0.83299999999999996</v>
      </c>
    </row>
    <row r="3710" spans="2:6" x14ac:dyDescent="0.2">
      <c r="B3710" s="9" t="s">
        <v>10486</v>
      </c>
      <c r="C3710" s="15" t="s">
        <v>10487</v>
      </c>
      <c r="D3710" s="12" t="str">
        <f>"1793-5458"</f>
        <v>1793-5458</v>
      </c>
      <c r="E3710" s="5">
        <v>1.77</v>
      </c>
      <c r="F3710" s="5">
        <v>0.34300000000000003</v>
      </c>
    </row>
    <row r="3711" spans="2:6" x14ac:dyDescent="0.2">
      <c r="B3711" s="9" t="s">
        <v>6555</v>
      </c>
      <c r="C3711" s="15" t="s">
        <v>3322</v>
      </c>
      <c r="D3711" s="12" t="str">
        <f>"0162-0134"</f>
        <v>0162-0134</v>
      </c>
      <c r="E3711" s="5">
        <v>4.1550000000000002</v>
      </c>
      <c r="F3711" s="5">
        <v>0.82199999999999995</v>
      </c>
    </row>
    <row r="3712" spans="2:6" x14ac:dyDescent="0.2">
      <c r="B3712" s="9" t="s">
        <v>6556</v>
      </c>
      <c r="C3712" s="15" t="s">
        <v>3323</v>
      </c>
      <c r="D3712" s="12" t="str">
        <f>"0022-1910"</f>
        <v>0022-1910</v>
      </c>
      <c r="E3712" s="5">
        <v>2.3540000000000001</v>
      </c>
      <c r="F3712" s="5">
        <v>0.73499999999999999</v>
      </c>
    </row>
    <row r="3713" spans="2:6" x14ac:dyDescent="0.2">
      <c r="B3713" s="9" t="s">
        <v>10488</v>
      </c>
      <c r="C3713" s="15" t="s">
        <v>10489</v>
      </c>
      <c r="D3713" s="12" t="str">
        <f>"1308-7649"</f>
        <v>1308-7649</v>
      </c>
      <c r="E3713" s="5">
        <v>1.0169999999999999</v>
      </c>
      <c r="F3713" s="5">
        <v>9.0999999999999998E-2</v>
      </c>
    </row>
    <row r="3714" spans="2:6" x14ac:dyDescent="0.2">
      <c r="B3714" s="9" t="s">
        <v>10490</v>
      </c>
      <c r="C3714" s="15" t="s">
        <v>10491</v>
      </c>
      <c r="D3714" s="12" t="str">
        <f>"1758-2652"</f>
        <v>1758-2652</v>
      </c>
      <c r="E3714" s="5">
        <v>5.3959999999999999</v>
      </c>
      <c r="F3714" s="5">
        <v>0.84799999999999998</v>
      </c>
    </row>
    <row r="3715" spans="2:6" x14ac:dyDescent="0.2">
      <c r="B3715" s="9" t="s">
        <v>10492</v>
      </c>
      <c r="C3715" s="15" t="s">
        <v>10493</v>
      </c>
      <c r="D3715" s="12" t="str">
        <f>"2095-4964"</f>
        <v>2095-4964</v>
      </c>
      <c r="E3715" s="5">
        <v>3.0339999999999998</v>
      </c>
      <c r="F3715" s="5">
        <v>0.71399999999999997</v>
      </c>
    </row>
    <row r="3716" spans="2:6" x14ac:dyDescent="0.2">
      <c r="B3716" s="9" t="s">
        <v>383</v>
      </c>
      <c r="C3716" s="15" t="s">
        <v>384</v>
      </c>
      <c r="D3716" s="12" t="str">
        <f>"0219-6352"</f>
        <v>0219-6352</v>
      </c>
      <c r="E3716" s="5">
        <v>2.117</v>
      </c>
      <c r="F3716" s="5">
        <v>0.17599999999999999</v>
      </c>
    </row>
    <row r="3717" spans="2:6" x14ac:dyDescent="0.2">
      <c r="B3717" s="9" t="s">
        <v>6559</v>
      </c>
      <c r="C3717" s="15" t="s">
        <v>3326</v>
      </c>
      <c r="D3717" s="12" t="str">
        <f>"1672-9072"</f>
        <v>1672-9072</v>
      </c>
      <c r="E3717" s="5">
        <v>7.0609999999999999</v>
      </c>
      <c r="F3717" s="5">
        <v>0.95299999999999996</v>
      </c>
    </row>
    <row r="3718" spans="2:6" x14ac:dyDescent="0.2">
      <c r="B3718" s="9" t="s">
        <v>6560</v>
      </c>
      <c r="C3718" s="15" t="s">
        <v>3327</v>
      </c>
      <c r="D3718" s="12" t="str">
        <f>"0964-2633"</f>
        <v>0964-2633</v>
      </c>
      <c r="E3718" s="5">
        <v>2.4239999999999999</v>
      </c>
      <c r="F3718" s="5">
        <v>0.63600000000000001</v>
      </c>
    </row>
    <row r="3719" spans="2:6" x14ac:dyDescent="0.2">
      <c r="B3719" s="9" t="s">
        <v>385</v>
      </c>
      <c r="C3719" s="15" t="s">
        <v>386</v>
      </c>
      <c r="D3719" s="12" t="str">
        <f>"1366-8250"</f>
        <v>1366-8250</v>
      </c>
      <c r="E3719" s="5">
        <v>2.093</v>
      </c>
      <c r="F3719" s="5">
        <v>0.56799999999999995</v>
      </c>
    </row>
    <row r="3720" spans="2:6" x14ac:dyDescent="0.2">
      <c r="B3720" s="9" t="s">
        <v>10494</v>
      </c>
      <c r="C3720" s="15" t="s">
        <v>10495</v>
      </c>
      <c r="D3720" s="12" t="str">
        <f>"1744-6295"</f>
        <v>1744-6295</v>
      </c>
      <c r="E3720" s="5">
        <v>2.0489999999999999</v>
      </c>
      <c r="F3720" s="5">
        <v>0.5</v>
      </c>
    </row>
    <row r="3721" spans="2:6" x14ac:dyDescent="0.2">
      <c r="B3721" s="9" t="s">
        <v>10496</v>
      </c>
      <c r="C3721" s="15" t="s">
        <v>10497</v>
      </c>
      <c r="D3721" s="12" t="str">
        <f>"2052-0492"</f>
        <v>2052-0492</v>
      </c>
      <c r="E3721" s="5">
        <v>3.9529999999999998</v>
      </c>
      <c r="F3721" s="5">
        <v>0.69399999999999995</v>
      </c>
    </row>
    <row r="3722" spans="2:6" x14ac:dyDescent="0.2">
      <c r="B3722" s="9" t="s">
        <v>10498</v>
      </c>
      <c r="C3722" s="15" t="s">
        <v>10499</v>
      </c>
      <c r="D3722" s="12" t="str">
        <f>"1525-1489"</f>
        <v>1525-1489</v>
      </c>
      <c r="E3722" s="5">
        <v>3.51</v>
      </c>
      <c r="F3722" s="5">
        <v>0.58299999999999996</v>
      </c>
    </row>
    <row r="3723" spans="2:6" x14ac:dyDescent="0.2">
      <c r="B3723" s="9" t="s">
        <v>6561</v>
      </c>
      <c r="C3723" s="15" t="s">
        <v>3328</v>
      </c>
      <c r="D3723" s="12" t="str">
        <f>"1079-9907"</f>
        <v>1079-9907</v>
      </c>
      <c r="E3723" s="5">
        <v>2.6070000000000002</v>
      </c>
      <c r="F3723" s="5">
        <v>0.25700000000000001</v>
      </c>
    </row>
    <row r="3724" spans="2:6" x14ac:dyDescent="0.2">
      <c r="B3724" s="9" t="s">
        <v>6562</v>
      </c>
      <c r="C3724" s="15" t="s">
        <v>3329</v>
      </c>
      <c r="D3724" s="12" t="str">
        <f>"0954-6820"</f>
        <v>0954-6820</v>
      </c>
      <c r="E3724" s="5">
        <v>8.9890000000000008</v>
      </c>
      <c r="F3724" s="5">
        <v>0.93400000000000005</v>
      </c>
    </row>
    <row r="3725" spans="2:6" x14ac:dyDescent="0.2">
      <c r="B3725" s="9" t="s">
        <v>387</v>
      </c>
      <c r="C3725" s="15" t="s">
        <v>388</v>
      </c>
      <c r="D3725" s="12" t="str">
        <f>"0886-2605"</f>
        <v>0886-2605</v>
      </c>
      <c r="E3725" s="5">
        <v>6.1440000000000001</v>
      </c>
      <c r="F3725" s="5">
        <v>0.97799999999999998</v>
      </c>
    </row>
    <row r="3726" spans="2:6" x14ac:dyDescent="0.2">
      <c r="B3726" s="9" t="s">
        <v>10500</v>
      </c>
      <c r="C3726" s="15" t="s">
        <v>10501</v>
      </c>
      <c r="D3726" s="12" t="str">
        <f>"1356-1820"</f>
        <v>1356-1820</v>
      </c>
      <c r="E3726" s="5">
        <v>2.3380000000000001</v>
      </c>
      <c r="F3726" s="5">
        <v>0.42</v>
      </c>
    </row>
    <row r="3727" spans="2:6" x14ac:dyDescent="0.2">
      <c r="B3727" s="9" t="s">
        <v>6563</v>
      </c>
      <c r="C3727" s="15" t="s">
        <v>3330</v>
      </c>
      <c r="D3727" s="12" t="str">
        <f>"1383-875X"</f>
        <v>1383-875X</v>
      </c>
      <c r="E3727" s="5">
        <v>1.9</v>
      </c>
      <c r="F3727" s="5">
        <v>0.20599999999999999</v>
      </c>
    </row>
    <row r="3728" spans="2:6" x14ac:dyDescent="0.2">
      <c r="B3728" s="9" t="s">
        <v>10502</v>
      </c>
      <c r="C3728" s="15" t="s">
        <v>10503</v>
      </c>
      <c r="D3728" s="12" t="str">
        <f>"0896-4327"</f>
        <v>0896-4327</v>
      </c>
      <c r="E3728" s="5">
        <v>2.2789999999999999</v>
      </c>
      <c r="F3728" s="5">
        <v>0.34</v>
      </c>
    </row>
    <row r="3729" spans="2:6" x14ac:dyDescent="0.2">
      <c r="B3729" s="9" t="s">
        <v>6557</v>
      </c>
      <c r="C3729" s="15" t="s">
        <v>3324</v>
      </c>
      <c r="D3729" s="12" t="str">
        <f>"1473-2300"</f>
        <v>1473-2300</v>
      </c>
      <c r="E3729" s="5">
        <v>1.671</v>
      </c>
      <c r="F3729" s="5">
        <v>0.14299999999999999</v>
      </c>
    </row>
    <row r="3730" spans="2:6" x14ac:dyDescent="0.2">
      <c r="B3730" s="9" t="s">
        <v>6558</v>
      </c>
      <c r="C3730" s="15" t="s">
        <v>3325</v>
      </c>
      <c r="D3730" s="12" t="str">
        <f>"1355-6177"</f>
        <v>1355-6177</v>
      </c>
      <c r="E3730" s="5">
        <v>2.8919999999999999</v>
      </c>
      <c r="F3730" s="5">
        <v>0.58399999999999996</v>
      </c>
    </row>
    <row r="3731" spans="2:6" x14ac:dyDescent="0.2">
      <c r="B3731" s="9" t="s">
        <v>10504</v>
      </c>
      <c r="C3731" s="15" t="s">
        <v>10505</v>
      </c>
      <c r="D3731" s="12" t="str">
        <f>"1550-2783"</f>
        <v>1550-2783</v>
      </c>
      <c r="E3731" s="5">
        <v>5.15</v>
      </c>
      <c r="F3731" s="5">
        <v>0.90900000000000003</v>
      </c>
    </row>
    <row r="3732" spans="2:6" x14ac:dyDescent="0.2">
      <c r="B3732" s="9" t="s">
        <v>10506</v>
      </c>
      <c r="C3732" s="15" t="s">
        <v>10507</v>
      </c>
      <c r="D3732" s="12" t="str">
        <f>"1042-3931"</f>
        <v>1042-3931</v>
      </c>
      <c r="E3732" s="5">
        <v>2.0219999999999998</v>
      </c>
      <c r="F3732" s="5">
        <v>0.255</v>
      </c>
    </row>
    <row r="3733" spans="2:6" x14ac:dyDescent="0.2">
      <c r="B3733" s="9" t="s">
        <v>6564</v>
      </c>
      <c r="C3733" s="15" t="s">
        <v>3331</v>
      </c>
      <c r="D3733" s="12" t="str">
        <f>"1018-9068"</f>
        <v>1018-9068</v>
      </c>
      <c r="E3733" s="5">
        <v>4.3330000000000002</v>
      </c>
      <c r="F3733" s="5">
        <v>0.57099999999999995</v>
      </c>
    </row>
    <row r="3734" spans="2:6" x14ac:dyDescent="0.2">
      <c r="B3734" s="9" t="s">
        <v>6565</v>
      </c>
      <c r="C3734" s="15" t="s">
        <v>3332</v>
      </c>
      <c r="D3734" s="12" t="str">
        <f>"0022-202X"</f>
        <v>0022-202X</v>
      </c>
      <c r="E3734" s="5">
        <v>8.5510000000000002</v>
      </c>
      <c r="F3734" s="5">
        <v>0.95599999999999996</v>
      </c>
    </row>
    <row r="3735" spans="2:6" x14ac:dyDescent="0.2">
      <c r="B3735" s="9" t="s">
        <v>6566</v>
      </c>
      <c r="C3735" s="15" t="s">
        <v>3333</v>
      </c>
      <c r="D3735" s="12" t="str">
        <f>"1081-5589"</f>
        <v>1081-5589</v>
      </c>
      <c r="E3735" s="5">
        <v>2.895</v>
      </c>
      <c r="F3735" s="5">
        <v>0.65300000000000002</v>
      </c>
    </row>
    <row r="3736" spans="2:6" x14ac:dyDescent="0.2">
      <c r="B3736" s="9" t="s">
        <v>10508</v>
      </c>
      <c r="C3736" s="15" t="s">
        <v>10509</v>
      </c>
      <c r="D3736" s="12" t="str">
        <f>"1544-4759"</f>
        <v>1544-4759</v>
      </c>
      <c r="E3736" s="5">
        <v>1.7</v>
      </c>
      <c r="F3736" s="5">
        <v>0.27500000000000002</v>
      </c>
    </row>
    <row r="3737" spans="2:6" x14ac:dyDescent="0.2">
      <c r="B3737" s="9" t="s">
        <v>6567</v>
      </c>
      <c r="C3737" s="15" t="s">
        <v>3334</v>
      </c>
      <c r="D3737" s="12" t="str">
        <f>"0894-1939"</f>
        <v>0894-1939</v>
      </c>
      <c r="E3737" s="5">
        <v>2.5329999999999999</v>
      </c>
      <c r="F3737" s="5">
        <v>0.51400000000000001</v>
      </c>
    </row>
    <row r="3738" spans="2:6" x14ac:dyDescent="0.2">
      <c r="B3738" s="9" t="s">
        <v>6568</v>
      </c>
      <c r="C3738" s="15" t="s">
        <v>3335</v>
      </c>
      <c r="D3738" s="12" t="str">
        <f>"1735-207X"</f>
        <v>1735-207X</v>
      </c>
      <c r="E3738" s="5">
        <v>2.0190000000000001</v>
      </c>
      <c r="F3738" s="5">
        <v>0.34300000000000003</v>
      </c>
    </row>
    <row r="3739" spans="2:6" x14ac:dyDescent="0.2">
      <c r="B3739" s="9" t="s">
        <v>10510</v>
      </c>
      <c r="C3739" s="15" t="s">
        <v>10511</v>
      </c>
      <c r="D3739" s="12" t="str">
        <f>"1018-3647"</f>
        <v>1018-3647</v>
      </c>
      <c r="E3739" s="5">
        <v>4.0110000000000001</v>
      </c>
      <c r="F3739" s="5">
        <v>0.73599999999999999</v>
      </c>
    </row>
    <row r="3740" spans="2:6" x14ac:dyDescent="0.2">
      <c r="B3740" s="9" t="s">
        <v>10512</v>
      </c>
      <c r="C3740" s="15" t="s">
        <v>10513</v>
      </c>
      <c r="D3740" s="12" t="str">
        <f>"1538-8506"</f>
        <v>1538-8506</v>
      </c>
      <c r="E3740" s="5">
        <v>2.7570000000000001</v>
      </c>
      <c r="F3740" s="5">
        <v>0.60499999999999998</v>
      </c>
    </row>
    <row r="3741" spans="2:6" x14ac:dyDescent="0.2">
      <c r="B3741" s="9" t="s">
        <v>10514</v>
      </c>
      <c r="C3741" s="15" t="s">
        <v>10515</v>
      </c>
      <c r="D3741" s="12" t="str">
        <f>"1367-3270"</f>
        <v>1367-3270</v>
      </c>
      <c r="E3741" s="5">
        <v>8.1820000000000004</v>
      </c>
      <c r="F3741" s="5">
        <v>0.97599999999999998</v>
      </c>
    </row>
    <row r="3742" spans="2:6" x14ac:dyDescent="0.2">
      <c r="B3742" s="9" t="s">
        <v>10516</v>
      </c>
      <c r="C3742" s="15" t="s">
        <v>10517</v>
      </c>
      <c r="D3742" s="12" t="str">
        <f>"2005-3673"</f>
        <v>2005-3673</v>
      </c>
      <c r="E3742" s="5">
        <v>0.98399999999999999</v>
      </c>
      <c r="F3742" s="5">
        <v>0.11899999999999999</v>
      </c>
    </row>
    <row r="3743" spans="2:6" x14ac:dyDescent="0.2">
      <c r="B3743" s="9" t="s">
        <v>6569</v>
      </c>
      <c r="C3743" s="15" t="s">
        <v>3336</v>
      </c>
      <c r="D3743" s="12" t="str">
        <f>"1011-8934"</f>
        <v>1011-8934</v>
      </c>
      <c r="E3743" s="5">
        <v>2.153</v>
      </c>
      <c r="F3743" s="5">
        <v>0.44900000000000001</v>
      </c>
    </row>
    <row r="3744" spans="2:6" x14ac:dyDescent="0.2">
      <c r="B3744" s="9" t="s">
        <v>389</v>
      </c>
      <c r="C3744" s="15" t="s">
        <v>390</v>
      </c>
      <c r="D3744" s="12" t="str">
        <f>"2005-3711"</f>
        <v>2005-3711</v>
      </c>
      <c r="E3744" s="5">
        <v>1.7290000000000001</v>
      </c>
      <c r="F3744" s="5">
        <v>0.26700000000000002</v>
      </c>
    </row>
    <row r="3745" spans="2:6" x14ac:dyDescent="0.2">
      <c r="B3745" s="9" t="s">
        <v>391</v>
      </c>
      <c r="C3745" s="15" t="s">
        <v>392</v>
      </c>
      <c r="D3745" s="12" t="str">
        <f>"1226-3192"</f>
        <v>1226-3192</v>
      </c>
      <c r="E3745" s="5">
        <v>0.80500000000000005</v>
      </c>
      <c r="F3745" s="5">
        <v>0.128</v>
      </c>
    </row>
    <row r="3746" spans="2:6" x14ac:dyDescent="0.2">
      <c r="B3746" s="9" t="s">
        <v>6570</v>
      </c>
      <c r="C3746" s="15" t="s">
        <v>3337</v>
      </c>
      <c r="D3746" s="12" t="str">
        <f>"0362-4803"</f>
        <v>0362-4803</v>
      </c>
      <c r="E3746" s="5">
        <v>1.921</v>
      </c>
      <c r="F3746" s="5">
        <v>0.24099999999999999</v>
      </c>
    </row>
    <row r="3747" spans="2:6" x14ac:dyDescent="0.2">
      <c r="B3747" s="9" t="s">
        <v>10518</v>
      </c>
      <c r="C3747" s="15" t="s">
        <v>10519</v>
      </c>
      <c r="D3747" s="12" t="str">
        <f>"2567-9430"</f>
        <v>2567-9430</v>
      </c>
      <c r="E3747" s="5">
        <v>0.379</v>
      </c>
      <c r="F3747" s="5">
        <v>6.9000000000000006E-2</v>
      </c>
    </row>
    <row r="3748" spans="2:6" x14ac:dyDescent="0.2">
      <c r="B3748" s="9" t="s">
        <v>393</v>
      </c>
      <c r="C3748" s="15" t="s">
        <v>394</v>
      </c>
      <c r="D3748" s="12" t="str">
        <f>"0261-927X"</f>
        <v>0261-927X</v>
      </c>
      <c r="E3748" s="5">
        <v>2.2530000000000001</v>
      </c>
      <c r="F3748" s="5">
        <v>0.79700000000000004</v>
      </c>
    </row>
    <row r="3749" spans="2:6" x14ac:dyDescent="0.2">
      <c r="B3749" s="9" t="s">
        <v>6571</v>
      </c>
      <c r="C3749" s="15" t="s">
        <v>3338</v>
      </c>
      <c r="D3749" s="12" t="str">
        <f>"1092-6429"</f>
        <v>1092-6429</v>
      </c>
      <c r="E3749" s="5">
        <v>1.8779999999999999</v>
      </c>
      <c r="F3749" s="5">
        <v>0.33800000000000002</v>
      </c>
    </row>
    <row r="3750" spans="2:6" x14ac:dyDescent="0.2">
      <c r="B3750" s="9" t="s">
        <v>6572</v>
      </c>
      <c r="C3750" s="15" t="s">
        <v>3339</v>
      </c>
      <c r="D3750" s="12" t="str">
        <f>"0022-2151"</f>
        <v>0022-2151</v>
      </c>
      <c r="E3750" s="5">
        <v>1.4690000000000001</v>
      </c>
      <c r="F3750" s="5">
        <v>0.159</v>
      </c>
    </row>
    <row r="3751" spans="2:6" x14ac:dyDescent="0.2">
      <c r="B3751" s="9" t="s">
        <v>6573</v>
      </c>
      <c r="C3751" s="15" t="s">
        <v>3340</v>
      </c>
      <c r="D3751" s="12" t="str">
        <f>"1042-346X"</f>
        <v>1042-346X</v>
      </c>
      <c r="E3751" s="5">
        <v>1.6359999999999999</v>
      </c>
      <c r="F3751" s="5">
        <v>0.32300000000000001</v>
      </c>
    </row>
    <row r="3752" spans="2:6" x14ac:dyDescent="0.2">
      <c r="B3752" s="9" t="s">
        <v>10520</v>
      </c>
      <c r="C3752" s="15" t="s">
        <v>10521</v>
      </c>
      <c r="D3752" s="12" t="str">
        <f>"1880-0688"</f>
        <v>1880-0688</v>
      </c>
      <c r="E3752" s="5">
        <v>1.2769999999999999</v>
      </c>
      <c r="F3752" s="5">
        <v>0.20200000000000001</v>
      </c>
    </row>
    <row r="3753" spans="2:6" x14ac:dyDescent="0.2">
      <c r="B3753" s="9" t="s">
        <v>10522</v>
      </c>
      <c r="C3753" s="15" t="s">
        <v>10523</v>
      </c>
      <c r="D3753" s="12" t="str">
        <f>"2578-8086"</f>
        <v>2578-8086</v>
      </c>
      <c r="E3753" s="5">
        <v>1.048</v>
      </c>
      <c r="F3753" s="5">
        <v>0.19400000000000001</v>
      </c>
    </row>
    <row r="3754" spans="2:6" x14ac:dyDescent="0.2">
      <c r="B3754" s="9" t="s">
        <v>10524</v>
      </c>
      <c r="C3754" s="15" t="s">
        <v>10525</v>
      </c>
      <c r="D3754" s="12" t="str">
        <f>"2053-9711"</f>
        <v>2053-9711</v>
      </c>
      <c r="E3754" s="5">
        <v>3.5830000000000002</v>
      </c>
      <c r="F3754" s="5">
        <v>0.96</v>
      </c>
    </row>
    <row r="3755" spans="2:6" x14ac:dyDescent="0.2">
      <c r="B3755" s="9" t="s">
        <v>6574</v>
      </c>
      <c r="C3755" s="15" t="s">
        <v>3341</v>
      </c>
      <c r="D3755" s="12" t="str">
        <f>"1073-1105"</f>
        <v>1073-1105</v>
      </c>
      <c r="E3755" s="5">
        <v>1.718</v>
      </c>
      <c r="F3755" s="5">
        <v>0.64200000000000002</v>
      </c>
    </row>
    <row r="3756" spans="2:6" x14ac:dyDescent="0.2">
      <c r="B3756" s="9" t="s">
        <v>395</v>
      </c>
      <c r="C3756" s="15" t="s">
        <v>396</v>
      </c>
      <c r="D3756" s="12" t="str">
        <f>"0022-2194"</f>
        <v>0022-2194</v>
      </c>
      <c r="E3756" s="5">
        <v>2.859</v>
      </c>
      <c r="F3756" s="5">
        <v>0.79500000000000004</v>
      </c>
    </row>
    <row r="3757" spans="2:6" x14ac:dyDescent="0.2">
      <c r="B3757" s="9" t="s">
        <v>397</v>
      </c>
      <c r="C3757" s="15" t="s">
        <v>398</v>
      </c>
      <c r="D3757" s="12" t="str">
        <f>"1050-8406"</f>
        <v>1050-8406</v>
      </c>
      <c r="E3757" s="5">
        <v>5.1710000000000003</v>
      </c>
      <c r="F3757" s="5">
        <v>0.95499999999999996</v>
      </c>
    </row>
    <row r="3758" spans="2:6" x14ac:dyDescent="0.2">
      <c r="B3758" s="9" t="s">
        <v>399</v>
      </c>
      <c r="C3758" s="15" t="s">
        <v>400</v>
      </c>
      <c r="D3758" s="12" t="str">
        <f>"0194-7648"</f>
        <v>0194-7648</v>
      </c>
      <c r="E3758" s="5">
        <v>0.74199999999999999</v>
      </c>
      <c r="F3758" s="5">
        <v>0.22500000000000001</v>
      </c>
    </row>
    <row r="3759" spans="2:6" x14ac:dyDescent="0.2">
      <c r="B3759" s="9" t="s">
        <v>6575</v>
      </c>
      <c r="C3759" s="15" t="s">
        <v>3342</v>
      </c>
      <c r="D3759" s="12" t="str">
        <f>"0741-5400"</f>
        <v>0741-5400</v>
      </c>
      <c r="E3759" s="5">
        <v>4.9619999999999997</v>
      </c>
      <c r="F3759" s="5">
        <v>0.68400000000000005</v>
      </c>
    </row>
    <row r="3760" spans="2:6" x14ac:dyDescent="0.2">
      <c r="B3760" s="9" t="s">
        <v>401</v>
      </c>
      <c r="C3760" s="15" t="s">
        <v>402</v>
      </c>
      <c r="D3760" s="12" t="str">
        <f>"0961-0006"</f>
        <v>0961-0006</v>
      </c>
      <c r="E3760" s="5">
        <v>1.992</v>
      </c>
      <c r="F3760" s="5">
        <v>0.45900000000000002</v>
      </c>
    </row>
    <row r="3761" spans="2:6" x14ac:dyDescent="0.2">
      <c r="B3761" s="9" t="s">
        <v>6576</v>
      </c>
      <c r="C3761" s="15" t="s">
        <v>3343</v>
      </c>
      <c r="D3761" s="12" t="str">
        <f>"0733-8724"</f>
        <v>0733-8724</v>
      </c>
      <c r="E3761" s="5">
        <v>4.1420000000000003</v>
      </c>
      <c r="F3761" s="5">
        <v>0.83799999999999997</v>
      </c>
    </row>
    <row r="3762" spans="2:6" x14ac:dyDescent="0.2">
      <c r="B3762" s="9" t="s">
        <v>6577</v>
      </c>
      <c r="C3762" s="15" t="s">
        <v>3344</v>
      </c>
      <c r="D3762" s="12" t="str">
        <f>"0022-2275"</f>
        <v>0022-2275</v>
      </c>
      <c r="E3762" s="5">
        <v>5.9219999999999997</v>
      </c>
      <c r="F3762" s="5">
        <v>0.77400000000000002</v>
      </c>
    </row>
    <row r="3763" spans="2:6" x14ac:dyDescent="0.2">
      <c r="B3763" s="9" t="s">
        <v>6578</v>
      </c>
      <c r="C3763" s="15" t="s">
        <v>3345</v>
      </c>
      <c r="D3763" s="12" t="str">
        <f>"0898-2104"</f>
        <v>0898-2104</v>
      </c>
      <c r="E3763" s="5">
        <v>3.6480000000000001</v>
      </c>
      <c r="F3763" s="5">
        <v>0.53800000000000003</v>
      </c>
    </row>
    <row r="3764" spans="2:6" x14ac:dyDescent="0.2">
      <c r="B3764" s="9" t="s">
        <v>6579</v>
      </c>
      <c r="C3764" s="15" t="s">
        <v>3346</v>
      </c>
      <c r="D3764" s="12" t="str">
        <f>"1082-6076"</f>
        <v>1082-6076</v>
      </c>
      <c r="E3764" s="5">
        <v>1.3120000000000001</v>
      </c>
      <c r="F3764" s="5">
        <v>9.6000000000000002E-2</v>
      </c>
    </row>
    <row r="3765" spans="2:6" x14ac:dyDescent="0.2">
      <c r="B3765" s="9" t="s">
        <v>403</v>
      </c>
      <c r="C3765" s="15" t="s">
        <v>404</v>
      </c>
      <c r="D3765" s="12" t="str">
        <f>"1086-296X"</f>
        <v>1086-296X</v>
      </c>
      <c r="E3765" s="5">
        <v>2.9180000000000001</v>
      </c>
      <c r="F3765" s="5">
        <v>0.68899999999999995</v>
      </c>
    </row>
    <row r="3766" spans="2:6" x14ac:dyDescent="0.2">
      <c r="B3766" s="9" t="s">
        <v>405</v>
      </c>
      <c r="C3766" s="15" t="s">
        <v>406</v>
      </c>
      <c r="D3766" s="12" t="str">
        <f>"1532-5024"</f>
        <v>1532-5024</v>
      </c>
      <c r="E3766" s="5">
        <v>1.0629999999999999</v>
      </c>
      <c r="F3766" s="5">
        <v>0.14099999999999999</v>
      </c>
    </row>
    <row r="3767" spans="2:6" x14ac:dyDescent="0.2">
      <c r="B3767" s="9" t="s">
        <v>6580</v>
      </c>
      <c r="C3767" s="15" t="s">
        <v>3347</v>
      </c>
      <c r="D3767" s="12" t="str">
        <f>"1461-3484"</f>
        <v>1461-3484</v>
      </c>
      <c r="E3767" s="5">
        <v>2.8370000000000002</v>
      </c>
      <c r="F3767" s="5">
        <v>0.74199999999999999</v>
      </c>
    </row>
    <row r="3768" spans="2:6" x14ac:dyDescent="0.2">
      <c r="B3768" s="9" t="s">
        <v>10526</v>
      </c>
      <c r="C3768" s="15" t="s">
        <v>10527</v>
      </c>
      <c r="D3768" s="12" t="str">
        <f>"1089-2591"</f>
        <v>1089-2591</v>
      </c>
      <c r="E3768" s="5">
        <v>1.925</v>
      </c>
      <c r="F3768" s="5">
        <v>0.24099999999999999</v>
      </c>
    </row>
    <row r="3769" spans="2:6" x14ac:dyDescent="0.2">
      <c r="B3769" s="9" t="s">
        <v>6581</v>
      </c>
      <c r="C3769" s="15" t="s">
        <v>3348</v>
      </c>
      <c r="D3769" s="12" t="str">
        <f>"0022-2313"</f>
        <v>0022-2313</v>
      </c>
      <c r="E3769" s="5">
        <v>3.5990000000000002</v>
      </c>
      <c r="F3769" s="5">
        <v>0.76800000000000002</v>
      </c>
    </row>
    <row r="3770" spans="2:6" x14ac:dyDescent="0.2">
      <c r="B3770" s="9" t="s">
        <v>6582</v>
      </c>
      <c r="C3770" s="15" t="s">
        <v>3349</v>
      </c>
      <c r="D3770" s="12" t="str">
        <f>"1090-7807"</f>
        <v>1090-7807</v>
      </c>
      <c r="E3770" s="5">
        <v>2.2290000000000001</v>
      </c>
      <c r="F3770" s="5">
        <v>0.51200000000000001</v>
      </c>
    </row>
    <row r="3771" spans="2:6" x14ac:dyDescent="0.2">
      <c r="B3771" s="9" t="s">
        <v>6583</v>
      </c>
      <c r="C3771" s="15" t="s">
        <v>3350</v>
      </c>
      <c r="D3771" s="12" t="str">
        <f>"1053-1807"</f>
        <v>1053-1807</v>
      </c>
      <c r="E3771" s="5">
        <v>4.8129999999999997</v>
      </c>
      <c r="F3771" s="5">
        <v>0.81200000000000006</v>
      </c>
    </row>
    <row r="3772" spans="2:6" x14ac:dyDescent="0.2">
      <c r="B3772" s="9" t="s">
        <v>6584</v>
      </c>
      <c r="C3772" s="15" t="s">
        <v>3351</v>
      </c>
      <c r="D3772" s="12" t="str">
        <f>"1083-3021"</f>
        <v>1083-3021</v>
      </c>
      <c r="E3772" s="5">
        <v>2.673</v>
      </c>
      <c r="F3772" s="5">
        <v>0.44400000000000001</v>
      </c>
    </row>
    <row r="3773" spans="2:6" x14ac:dyDescent="0.2">
      <c r="B3773" s="9" t="s">
        <v>10528</v>
      </c>
      <c r="C3773" s="15" t="s">
        <v>10529</v>
      </c>
      <c r="D3773" s="12" t="str">
        <f>"2376-0540"</f>
        <v>2376-0540</v>
      </c>
      <c r="E3773" s="5">
        <v>2.903</v>
      </c>
      <c r="F3773" s="5">
        <v>0.54200000000000004</v>
      </c>
    </row>
    <row r="3774" spans="2:6" x14ac:dyDescent="0.2">
      <c r="B3774" s="9" t="s">
        <v>10530</v>
      </c>
      <c r="C3774" s="15" t="s">
        <v>10531</v>
      </c>
      <c r="D3774" s="12" t="str">
        <f>"0149-2063"</f>
        <v>0149-2063</v>
      </c>
      <c r="E3774" s="5">
        <v>11.79</v>
      </c>
      <c r="F3774" s="5">
        <v>0.98199999999999998</v>
      </c>
    </row>
    <row r="3775" spans="2:6" x14ac:dyDescent="0.2">
      <c r="B3775" s="9" t="s">
        <v>407</v>
      </c>
      <c r="C3775" s="15" t="s">
        <v>408</v>
      </c>
      <c r="D3775" s="12" t="str">
        <f>"0742-1222"</f>
        <v>0742-1222</v>
      </c>
      <c r="E3775" s="5">
        <v>7.8380000000000001</v>
      </c>
      <c r="F3775" s="5">
        <v>0.96499999999999997</v>
      </c>
    </row>
    <row r="3776" spans="2:6" x14ac:dyDescent="0.2">
      <c r="B3776" s="9" t="s">
        <v>10532</v>
      </c>
      <c r="C3776" s="15" t="s">
        <v>10533</v>
      </c>
      <c r="D3776" s="12" t="str">
        <f>"0268-3946"</f>
        <v>0268-3946</v>
      </c>
      <c r="E3776" s="5">
        <v>3.6139999999999999</v>
      </c>
      <c r="F3776" s="5">
        <v>0.66300000000000003</v>
      </c>
    </row>
    <row r="3777" spans="2:6" x14ac:dyDescent="0.2">
      <c r="B3777" s="9" t="s">
        <v>6585</v>
      </c>
      <c r="C3777" s="15" t="s">
        <v>3352</v>
      </c>
      <c r="D3777" s="12" t="str">
        <f>"0161-4754"</f>
        <v>0161-4754</v>
      </c>
      <c r="E3777" s="5">
        <v>1.4370000000000001</v>
      </c>
      <c r="F3777" s="5">
        <v>0.28599999999999998</v>
      </c>
    </row>
    <row r="3778" spans="2:6" ht="25.5" x14ac:dyDescent="0.2">
      <c r="B3778" s="9" t="s">
        <v>6586</v>
      </c>
      <c r="C3778" s="15" t="s">
        <v>3353</v>
      </c>
      <c r="D3778" s="12" t="str">
        <f>"1087-1357"</f>
        <v>1087-1357</v>
      </c>
      <c r="E3778" s="5">
        <v>3.0329999999999999</v>
      </c>
      <c r="F3778" s="5">
        <v>0.63900000000000001</v>
      </c>
    </row>
    <row r="3779" spans="2:6" x14ac:dyDescent="0.2">
      <c r="B3779" s="9" t="s">
        <v>409</v>
      </c>
      <c r="C3779" s="15" t="s">
        <v>410</v>
      </c>
      <c r="D3779" s="12" t="str">
        <f>"0194-472X"</f>
        <v>0194-472X</v>
      </c>
      <c r="E3779" s="5">
        <v>2.379</v>
      </c>
      <c r="F3779" s="5">
        <v>0.56499999999999995</v>
      </c>
    </row>
    <row r="3780" spans="2:6" x14ac:dyDescent="0.2">
      <c r="B3780" s="9" t="s">
        <v>6587</v>
      </c>
      <c r="C3780" s="15" t="s">
        <v>3354</v>
      </c>
      <c r="D3780" s="12" t="str">
        <f>"1076-5174"</f>
        <v>1076-5174</v>
      </c>
      <c r="E3780" s="5">
        <v>1.982</v>
      </c>
      <c r="F3780" s="5">
        <v>0.442</v>
      </c>
    </row>
    <row r="3781" spans="2:6" x14ac:dyDescent="0.2">
      <c r="B3781" s="9" t="s">
        <v>411</v>
      </c>
      <c r="C3781" s="15" t="s">
        <v>412</v>
      </c>
      <c r="D3781" s="12" t="str">
        <f>"1476-7058"</f>
        <v>1476-7058</v>
      </c>
      <c r="E3781" s="5">
        <v>2.3980000000000001</v>
      </c>
      <c r="F3781" s="5">
        <v>0.39800000000000002</v>
      </c>
    </row>
    <row r="3782" spans="2:6" x14ac:dyDescent="0.2">
      <c r="B3782" s="9" t="s">
        <v>6588</v>
      </c>
      <c r="C3782" s="15" t="s">
        <v>3355</v>
      </c>
      <c r="D3782" s="12" t="str">
        <f>"0957-4530"</f>
        <v>0957-4530</v>
      </c>
      <c r="E3782" s="5">
        <v>3.8959999999999999</v>
      </c>
      <c r="F3782" s="5">
        <v>0.64400000000000002</v>
      </c>
    </row>
    <row r="3783" spans="2:6" x14ac:dyDescent="0.2">
      <c r="B3783" s="9" t="s">
        <v>6589</v>
      </c>
      <c r="C3783" s="15" t="s">
        <v>3356</v>
      </c>
      <c r="D3783" s="12" t="str">
        <f>"0303-6812"</f>
        <v>0303-6812</v>
      </c>
      <c r="E3783" s="5">
        <v>2.2589999999999999</v>
      </c>
      <c r="F3783" s="5">
        <v>0.51700000000000002</v>
      </c>
    </row>
    <row r="3784" spans="2:6" x14ac:dyDescent="0.2">
      <c r="B3784" s="9" t="s">
        <v>6590</v>
      </c>
      <c r="C3784" s="15" t="s">
        <v>3357</v>
      </c>
      <c r="D3784" s="12" t="str">
        <f>"0259-9791"</f>
        <v>0259-9791</v>
      </c>
      <c r="E3784" s="5">
        <v>2.3570000000000002</v>
      </c>
      <c r="F3784" s="5">
        <v>0.60199999999999998</v>
      </c>
    </row>
    <row r="3785" spans="2:6" x14ac:dyDescent="0.2">
      <c r="B3785" s="9" t="s">
        <v>10534</v>
      </c>
      <c r="C3785" s="15" t="s">
        <v>10535</v>
      </c>
      <c r="D3785" s="12" t="str">
        <f>"2190-8567"</f>
        <v>2190-8567</v>
      </c>
      <c r="E3785" s="5">
        <v>1.3</v>
      </c>
      <c r="F3785" s="5">
        <v>0.222</v>
      </c>
    </row>
    <row r="3786" spans="2:6" x14ac:dyDescent="0.2">
      <c r="B3786" s="9" t="s">
        <v>413</v>
      </c>
      <c r="C3786" s="15" t="s">
        <v>414</v>
      </c>
      <c r="D3786" s="12" t="str">
        <f>"0022-2496"</f>
        <v>0022-2496</v>
      </c>
      <c r="E3786" s="5">
        <v>2.2229999999999999</v>
      </c>
      <c r="F3786" s="5">
        <v>0.59599999999999997</v>
      </c>
    </row>
    <row r="3787" spans="2:6" x14ac:dyDescent="0.2">
      <c r="B3787" s="9" t="s">
        <v>415</v>
      </c>
      <c r="C3787" s="15" t="s">
        <v>416</v>
      </c>
      <c r="D3787" s="12" t="str">
        <f>"1878-0180"</f>
        <v>1878-0180</v>
      </c>
      <c r="E3787" s="5">
        <v>3.9020000000000001</v>
      </c>
      <c r="F3787" s="5">
        <v>0.65500000000000003</v>
      </c>
    </row>
    <row r="3788" spans="2:6" x14ac:dyDescent="0.2">
      <c r="B3788" s="9" t="s">
        <v>7162</v>
      </c>
      <c r="C3788" s="15" t="s">
        <v>3358</v>
      </c>
      <c r="D3788" s="12" t="str">
        <f>"1050-0472"</f>
        <v>1050-0472</v>
      </c>
      <c r="E3788" s="5">
        <v>3.2509999999999999</v>
      </c>
      <c r="F3788" s="5">
        <v>0.69199999999999995</v>
      </c>
    </row>
    <row r="3789" spans="2:6" x14ac:dyDescent="0.2">
      <c r="B3789" s="9" t="s">
        <v>417</v>
      </c>
      <c r="C3789" s="15" t="s">
        <v>418</v>
      </c>
      <c r="D3789" s="12" t="str">
        <f>"0219-5194"</f>
        <v>0219-5194</v>
      </c>
      <c r="E3789" s="5">
        <v>0.89700000000000002</v>
      </c>
      <c r="F3789" s="5">
        <v>7.0000000000000007E-2</v>
      </c>
    </row>
    <row r="3790" spans="2:6" x14ac:dyDescent="0.2">
      <c r="B3790" s="9" t="s">
        <v>10536</v>
      </c>
      <c r="C3790" s="15" t="s">
        <v>10537</v>
      </c>
      <c r="D3790" s="12" t="str">
        <f>"1942-4302"</f>
        <v>1942-4302</v>
      </c>
      <c r="E3790" s="5">
        <v>2.085</v>
      </c>
      <c r="F3790" s="5">
        <v>0.496</v>
      </c>
    </row>
    <row r="3791" spans="2:6" x14ac:dyDescent="0.2">
      <c r="B3791" s="9" t="s">
        <v>7163</v>
      </c>
      <c r="C3791" s="15" t="s">
        <v>3359</v>
      </c>
      <c r="D3791" s="12" t="str">
        <f>"1738-494X"</f>
        <v>1738-494X</v>
      </c>
      <c r="E3791" s="5">
        <v>1.734</v>
      </c>
      <c r="F3791" s="5">
        <v>0.33800000000000002</v>
      </c>
    </row>
    <row r="3792" spans="2:6" x14ac:dyDescent="0.2">
      <c r="B3792" s="9" t="s">
        <v>10538</v>
      </c>
      <c r="C3792" s="15" t="s">
        <v>10539</v>
      </c>
      <c r="D3792" s="12" t="str">
        <f>"1452-8258"</f>
        <v>1452-8258</v>
      </c>
      <c r="E3792" s="5">
        <v>3.4020000000000001</v>
      </c>
      <c r="F3792" s="5">
        <v>0.39200000000000002</v>
      </c>
    </row>
    <row r="3793" spans="2:6" x14ac:dyDescent="0.2">
      <c r="B3793" s="9" t="s">
        <v>10540</v>
      </c>
      <c r="C3793" s="15" t="s">
        <v>10541</v>
      </c>
      <c r="D3793" s="12" t="str">
        <f>"1609-0985"</f>
        <v>1609-0985</v>
      </c>
      <c r="E3793" s="5">
        <v>1.5529999999999999</v>
      </c>
      <c r="F3793" s="5">
        <v>0.14899999999999999</v>
      </c>
    </row>
    <row r="3794" spans="2:6" x14ac:dyDescent="0.2">
      <c r="B3794" s="9" t="s">
        <v>7164</v>
      </c>
      <c r="C3794" s="15" t="s">
        <v>3360</v>
      </c>
      <c r="D3794" s="12" t="str">
        <f>"0022-2623"</f>
        <v>0022-2623</v>
      </c>
      <c r="E3794" s="5">
        <v>7.4459999999999997</v>
      </c>
      <c r="F3794" s="5">
        <v>0.96799999999999997</v>
      </c>
    </row>
    <row r="3795" spans="2:6" x14ac:dyDescent="0.2">
      <c r="B3795" s="9" t="s">
        <v>10542</v>
      </c>
      <c r="C3795" s="15" t="s">
        <v>10543</v>
      </c>
      <c r="D3795" s="12" t="str">
        <f>"1932-6181"</f>
        <v>1932-6181</v>
      </c>
      <c r="E3795" s="5">
        <v>0.58199999999999996</v>
      </c>
      <c r="F3795" s="5">
        <v>3.4000000000000002E-2</v>
      </c>
    </row>
    <row r="3796" spans="2:6" x14ac:dyDescent="0.2">
      <c r="B3796" s="9" t="s">
        <v>10544</v>
      </c>
      <c r="C3796" s="15" t="s">
        <v>10545</v>
      </c>
      <c r="D3796" s="12" t="str">
        <f>"1941-837X"</f>
        <v>1941-837X</v>
      </c>
      <c r="E3796" s="5">
        <v>2.448</v>
      </c>
      <c r="F3796" s="5">
        <v>0.53900000000000003</v>
      </c>
    </row>
    <row r="3797" spans="2:6" x14ac:dyDescent="0.2">
      <c r="B3797" s="9" t="s">
        <v>7165</v>
      </c>
      <c r="C3797" s="15" t="s">
        <v>3361</v>
      </c>
      <c r="D3797" s="12" t="str">
        <f>"0022-2585"</f>
        <v>0022-2585</v>
      </c>
      <c r="E3797" s="5">
        <v>2.278</v>
      </c>
      <c r="F3797" s="5">
        <v>0.76</v>
      </c>
    </row>
    <row r="3798" spans="2:6" x14ac:dyDescent="0.2">
      <c r="B3798" s="9" t="s">
        <v>7166</v>
      </c>
      <c r="C3798" s="15" t="s">
        <v>3362</v>
      </c>
      <c r="D3798" s="12" t="str">
        <f>"0306-6800"</f>
        <v>0306-6800</v>
      </c>
      <c r="E3798" s="5">
        <v>2.903</v>
      </c>
      <c r="F3798" s="5">
        <v>0.875</v>
      </c>
    </row>
    <row r="3799" spans="2:6" x14ac:dyDescent="0.2">
      <c r="B3799" s="9" t="s">
        <v>7167</v>
      </c>
      <c r="C3799" s="15" t="s">
        <v>3363</v>
      </c>
      <c r="D3799" s="12" t="str">
        <f>"1096-620X"</f>
        <v>1096-620X</v>
      </c>
      <c r="E3799" s="5">
        <v>2.786</v>
      </c>
      <c r="F3799" s="5">
        <v>0.52400000000000002</v>
      </c>
    </row>
    <row r="3800" spans="2:6" x14ac:dyDescent="0.2">
      <c r="B3800" s="9" t="s">
        <v>7168</v>
      </c>
      <c r="C3800" s="15" t="s">
        <v>3364</v>
      </c>
      <c r="D3800" s="12" t="str">
        <f>"0022-2593"</f>
        <v>0022-2593</v>
      </c>
      <c r="E3800" s="5">
        <v>6.3179999999999996</v>
      </c>
      <c r="F3800" s="5">
        <v>0.88</v>
      </c>
    </row>
    <row r="3801" spans="2:6" x14ac:dyDescent="0.2">
      <c r="B3801" s="9" t="s">
        <v>10546</v>
      </c>
      <c r="C3801" s="15" t="s">
        <v>10547</v>
      </c>
      <c r="D3801" s="12" t="str">
        <f>"1864-1105"</f>
        <v>1864-1105</v>
      </c>
      <c r="E3801" s="5">
        <v>1.6339999999999999</v>
      </c>
      <c r="F3801" s="5">
        <v>0.374</v>
      </c>
    </row>
    <row r="3802" spans="2:6" x14ac:dyDescent="0.2">
      <c r="B3802" s="9" t="s">
        <v>419</v>
      </c>
      <c r="C3802" s="15" t="s">
        <v>420</v>
      </c>
      <c r="D3802" s="12" t="str">
        <f>"1754-9485"</f>
        <v>1754-9485</v>
      </c>
      <c r="E3802" s="5">
        <v>1.7350000000000001</v>
      </c>
      <c r="F3802" s="5">
        <v>0.21099999999999999</v>
      </c>
    </row>
    <row r="3803" spans="2:6" x14ac:dyDescent="0.2">
      <c r="B3803" s="9" t="s">
        <v>7169</v>
      </c>
      <c r="C3803" s="15" t="s">
        <v>3365</v>
      </c>
      <c r="D3803" s="12" t="str">
        <f>"1439-4456"</f>
        <v>1439-4456</v>
      </c>
      <c r="E3803" s="5">
        <v>5.4279999999999999</v>
      </c>
      <c r="F3803" s="5">
        <v>0.91600000000000004</v>
      </c>
    </row>
    <row r="3804" spans="2:6" x14ac:dyDescent="0.2">
      <c r="B3804" s="9" t="s">
        <v>421</v>
      </c>
      <c r="C3804" s="15" t="s">
        <v>422</v>
      </c>
      <c r="D3804" s="12" t="str">
        <f>"1536-5050"</f>
        <v>1536-5050</v>
      </c>
      <c r="E3804" s="5">
        <v>3.18</v>
      </c>
      <c r="F3804" s="5">
        <v>0.624</v>
      </c>
    </row>
    <row r="3805" spans="2:6" x14ac:dyDescent="0.2">
      <c r="B3805" s="9" t="s">
        <v>7170</v>
      </c>
      <c r="C3805" s="15" t="s">
        <v>3366</v>
      </c>
      <c r="D3805" s="12" t="str">
        <f>"0022-2615"</f>
        <v>0022-2615</v>
      </c>
      <c r="E3805" s="5">
        <v>2.472</v>
      </c>
      <c r="F3805" s="5">
        <v>0.23699999999999999</v>
      </c>
    </row>
    <row r="3806" spans="2:6" x14ac:dyDescent="0.2">
      <c r="B3806" s="9" t="s">
        <v>423</v>
      </c>
      <c r="C3806" s="15" t="s">
        <v>424</v>
      </c>
      <c r="D3806" s="12" t="str">
        <f>"0360-5310"</f>
        <v>0360-5310</v>
      </c>
      <c r="E3806" s="5">
        <v>0.94399999999999995</v>
      </c>
      <c r="F3806" s="5">
        <v>0.28599999999999998</v>
      </c>
    </row>
    <row r="3807" spans="2:6" x14ac:dyDescent="0.2">
      <c r="B3807" s="9" t="s">
        <v>7171</v>
      </c>
      <c r="C3807" s="15" t="s">
        <v>3367</v>
      </c>
      <c r="D3807" s="12" t="str">
        <f>"0047-2565"</f>
        <v>0047-2565</v>
      </c>
      <c r="E3807" s="5">
        <v>0.66700000000000004</v>
      </c>
      <c r="F3807" s="5">
        <v>0.24</v>
      </c>
    </row>
    <row r="3808" spans="2:6" x14ac:dyDescent="0.2">
      <c r="B3808" s="9" t="s">
        <v>7172</v>
      </c>
      <c r="C3808" s="15" t="s">
        <v>3368</v>
      </c>
      <c r="D3808" s="12" t="str">
        <f>"0969-1413"</f>
        <v>0969-1413</v>
      </c>
      <c r="E3808" s="5">
        <v>2.1360000000000001</v>
      </c>
      <c r="F3808" s="5">
        <v>0.38200000000000001</v>
      </c>
    </row>
    <row r="3809" spans="2:6" x14ac:dyDescent="0.2">
      <c r="B3809" s="9" t="s">
        <v>7173</v>
      </c>
      <c r="C3809" s="15" t="s">
        <v>3369</v>
      </c>
      <c r="D3809" s="12" t="str">
        <f>"0148-5598"</f>
        <v>0148-5598</v>
      </c>
      <c r="E3809" s="5">
        <v>4.46</v>
      </c>
      <c r="F3809" s="5">
        <v>0.81299999999999994</v>
      </c>
    </row>
    <row r="3810" spans="2:6" x14ac:dyDescent="0.2">
      <c r="B3810" s="9" t="s">
        <v>10548</v>
      </c>
      <c r="C3810" s="15" t="s">
        <v>10549</v>
      </c>
      <c r="D3810" s="12" t="str">
        <f>"1556-9039"</f>
        <v>1556-9039</v>
      </c>
      <c r="E3810" s="5">
        <v>2.9</v>
      </c>
      <c r="F3810" s="5">
        <v>0.32300000000000001</v>
      </c>
    </row>
    <row r="3811" spans="2:6" x14ac:dyDescent="0.2">
      <c r="B3811" s="9" t="s">
        <v>425</v>
      </c>
      <c r="C3811" s="15" t="s">
        <v>426</v>
      </c>
      <c r="D3811" s="12" t="str">
        <f>"1346-4523"</f>
        <v>1346-4523</v>
      </c>
      <c r="E3811" s="5">
        <v>1.3140000000000001</v>
      </c>
      <c r="F3811" s="5">
        <v>9.8000000000000004E-2</v>
      </c>
    </row>
    <row r="3812" spans="2:6" x14ac:dyDescent="0.2">
      <c r="B3812" s="9" t="s">
        <v>7174</v>
      </c>
      <c r="C3812" s="15" t="s">
        <v>3370</v>
      </c>
      <c r="D3812" s="12" t="str">
        <f>"0146-6615"</f>
        <v>0146-6615</v>
      </c>
      <c r="E3812" s="5">
        <v>2.327</v>
      </c>
      <c r="F3812" s="5">
        <v>0.25</v>
      </c>
    </row>
    <row r="3813" spans="2:6" x14ac:dyDescent="0.2">
      <c r="B3813" s="9" t="s">
        <v>7176</v>
      </c>
      <c r="C3813" s="15" t="s">
        <v>3372</v>
      </c>
      <c r="D3813" s="12" t="str">
        <f>"0022-2631"</f>
        <v>0022-2631</v>
      </c>
      <c r="E3813" s="5">
        <v>1.843</v>
      </c>
      <c r="F3813" s="5">
        <v>0.17299999999999999</v>
      </c>
    </row>
    <row r="3814" spans="2:6" x14ac:dyDescent="0.2">
      <c r="B3814" s="9" t="s">
        <v>7175</v>
      </c>
      <c r="C3814" s="15" t="s">
        <v>3371</v>
      </c>
      <c r="D3814" s="12" t="str">
        <f>"0749-596X"</f>
        <v>0749-596X</v>
      </c>
      <c r="E3814" s="5">
        <v>3.0590000000000002</v>
      </c>
      <c r="F3814" s="5">
        <v>0.91700000000000004</v>
      </c>
    </row>
    <row r="3815" spans="2:6" x14ac:dyDescent="0.2">
      <c r="B3815" s="9" t="s">
        <v>10550</v>
      </c>
      <c r="C3815" s="15" t="s">
        <v>10551</v>
      </c>
      <c r="D3815" s="12" t="str">
        <f>"1875-6867"</f>
        <v>1875-6867</v>
      </c>
      <c r="E3815" s="5">
        <v>0.53700000000000003</v>
      </c>
      <c r="F3815" s="5">
        <v>2.4E-2</v>
      </c>
    </row>
    <row r="3816" spans="2:6" x14ac:dyDescent="0.2">
      <c r="B3816" s="9" t="s">
        <v>10552</v>
      </c>
      <c r="C3816" s="15" t="s">
        <v>10553</v>
      </c>
      <c r="D3816" s="12" t="str">
        <f>"0963-8237"</f>
        <v>0963-8237</v>
      </c>
      <c r="E3816" s="5">
        <v>4.2990000000000004</v>
      </c>
      <c r="F3816" s="5">
        <v>0.78500000000000003</v>
      </c>
    </row>
    <row r="3817" spans="2:6" x14ac:dyDescent="0.2">
      <c r="B3817" s="9" t="s">
        <v>427</v>
      </c>
      <c r="C3817" s="15" t="s">
        <v>428</v>
      </c>
      <c r="D3817" s="12" t="str">
        <f>"1091-4358"</f>
        <v>1091-4358</v>
      </c>
      <c r="E3817" s="5">
        <v>0.88900000000000001</v>
      </c>
      <c r="F3817" s="5">
        <v>9.7000000000000003E-2</v>
      </c>
    </row>
    <row r="3818" spans="2:6" x14ac:dyDescent="0.2">
      <c r="B3818" s="9" t="s">
        <v>10554</v>
      </c>
      <c r="C3818" s="15" t="s">
        <v>10555</v>
      </c>
      <c r="D3818" s="12" t="str">
        <f>"1931-5864"</f>
        <v>1931-5864</v>
      </c>
      <c r="E3818" s="5">
        <v>2.5859999999999999</v>
      </c>
      <c r="F3818" s="5">
        <v>0.75</v>
      </c>
    </row>
    <row r="3819" spans="2:6" x14ac:dyDescent="0.2">
      <c r="B3819" s="9" t="s">
        <v>429</v>
      </c>
      <c r="C3819" s="15" t="s">
        <v>430</v>
      </c>
      <c r="D3819" s="12" t="str">
        <f>"1870-249X"</f>
        <v>1870-249X</v>
      </c>
      <c r="E3819" s="5">
        <v>0.52400000000000002</v>
      </c>
      <c r="F3819" s="5">
        <v>6.2E-2</v>
      </c>
    </row>
    <row r="3820" spans="2:6" x14ac:dyDescent="0.2">
      <c r="B3820" s="9" t="s">
        <v>7177</v>
      </c>
      <c r="C3820" s="15" t="s">
        <v>3373</v>
      </c>
      <c r="D3820" s="12" t="str">
        <f>"1225-8873"</f>
        <v>1225-8873</v>
      </c>
      <c r="E3820" s="5">
        <v>3.4220000000000002</v>
      </c>
      <c r="F3820" s="5">
        <v>0.47399999999999998</v>
      </c>
    </row>
    <row r="3821" spans="2:6" x14ac:dyDescent="0.2">
      <c r="B3821" s="9" t="s">
        <v>10556</v>
      </c>
      <c r="C3821" s="15" t="s">
        <v>10557</v>
      </c>
      <c r="D3821" s="12" t="str">
        <f>"1017-7825"</f>
        <v>1017-7825</v>
      </c>
      <c r="E3821" s="5">
        <v>2.351</v>
      </c>
      <c r="F3821" s="5">
        <v>0.27800000000000002</v>
      </c>
    </row>
    <row r="3822" spans="2:6" x14ac:dyDescent="0.2">
      <c r="B3822" s="9" t="s">
        <v>10558</v>
      </c>
      <c r="C3822" s="15" t="s">
        <v>10559</v>
      </c>
      <c r="D3822" s="12" t="str">
        <f>"1684-1182"</f>
        <v>1684-1182</v>
      </c>
      <c r="E3822" s="5">
        <v>4.399</v>
      </c>
      <c r="F3822" s="5">
        <v>0.70699999999999996</v>
      </c>
    </row>
    <row r="3823" spans="2:6" x14ac:dyDescent="0.2">
      <c r="B3823" s="9" t="s">
        <v>7178</v>
      </c>
      <c r="C3823" s="15" t="s">
        <v>3374</v>
      </c>
      <c r="D3823" s="12" t="str">
        <f>"0167-7012"</f>
        <v>0167-7012</v>
      </c>
      <c r="E3823" s="5">
        <v>2.363</v>
      </c>
      <c r="F3823" s="5">
        <v>0.32500000000000001</v>
      </c>
    </row>
    <row r="3824" spans="2:6" x14ac:dyDescent="0.2">
      <c r="B3824" s="9" t="s">
        <v>7179</v>
      </c>
      <c r="C3824" s="15" t="s">
        <v>3375</v>
      </c>
      <c r="D3824" s="12" t="str">
        <f>"1057-7157"</f>
        <v>1057-7157</v>
      </c>
      <c r="E3824" s="5">
        <v>2.4169999999999998</v>
      </c>
      <c r="F3824" s="5">
        <v>0.56299999999999994</v>
      </c>
    </row>
    <row r="3825" spans="2:6" x14ac:dyDescent="0.2">
      <c r="B3825" s="9" t="s">
        <v>7180</v>
      </c>
      <c r="C3825" s="15" t="s">
        <v>3376</v>
      </c>
      <c r="D3825" s="12" t="str">
        <f>"0265-2048"</f>
        <v>0265-2048</v>
      </c>
      <c r="E3825" s="5">
        <v>3.1419999999999999</v>
      </c>
      <c r="F3825" s="5">
        <v>0.64900000000000002</v>
      </c>
    </row>
    <row r="3826" spans="2:6" x14ac:dyDescent="0.2">
      <c r="B3826" s="9" t="s">
        <v>431</v>
      </c>
      <c r="C3826" s="15" t="s">
        <v>432</v>
      </c>
      <c r="D3826" s="12" t="str">
        <f>"1932-5150"</f>
        <v>1932-5150</v>
      </c>
      <c r="E3826" s="5">
        <v>1.22</v>
      </c>
      <c r="F3826" s="5">
        <v>0.192</v>
      </c>
    </row>
    <row r="3827" spans="2:6" x14ac:dyDescent="0.2">
      <c r="B3827" s="9" t="s">
        <v>7181</v>
      </c>
      <c r="C3827" s="15" t="s">
        <v>10560</v>
      </c>
      <c r="D3827" s="12" t="str">
        <f>"0022-2720"</f>
        <v>0022-2720</v>
      </c>
      <c r="E3827" s="5">
        <v>1.758</v>
      </c>
      <c r="F3827" s="5">
        <v>0.33300000000000002</v>
      </c>
    </row>
    <row r="3828" spans="2:6" x14ac:dyDescent="0.2">
      <c r="B3828" s="9" t="s">
        <v>10561</v>
      </c>
      <c r="C3828" s="15" t="s">
        <v>10562</v>
      </c>
      <c r="D3828" s="12" t="str">
        <f>"1552-5864"</f>
        <v>1552-5864</v>
      </c>
      <c r="E3828" s="5">
        <v>0.58599999999999997</v>
      </c>
      <c r="F3828" s="5">
        <v>0.22700000000000001</v>
      </c>
    </row>
    <row r="3829" spans="2:6" x14ac:dyDescent="0.2">
      <c r="B3829" s="9" t="s">
        <v>433</v>
      </c>
      <c r="C3829" s="15" t="s">
        <v>434</v>
      </c>
      <c r="D3829" s="12" t="str">
        <f>"1526-9523"</f>
        <v>1526-9523</v>
      </c>
      <c r="E3829" s="5">
        <v>2.3879999999999999</v>
      </c>
      <c r="F3829" s="5">
        <v>0.77800000000000002</v>
      </c>
    </row>
    <row r="3830" spans="2:6" x14ac:dyDescent="0.2">
      <c r="B3830" s="9" t="s">
        <v>10563</v>
      </c>
      <c r="C3830" s="15" t="s">
        <v>10564</v>
      </c>
      <c r="D3830" s="12" t="str">
        <f>"0972-9941"</f>
        <v>0972-9941</v>
      </c>
      <c r="E3830" s="5">
        <v>1.407</v>
      </c>
      <c r="F3830" s="5">
        <v>0.18099999999999999</v>
      </c>
    </row>
    <row r="3831" spans="2:6" x14ac:dyDescent="0.2">
      <c r="B3831" s="9" t="s">
        <v>7182</v>
      </c>
      <c r="C3831" s="15" t="s">
        <v>3377</v>
      </c>
      <c r="D3831" s="12" t="str">
        <f>"1553-4650"</f>
        <v>1553-4650</v>
      </c>
      <c r="E3831" s="5">
        <v>4.1369999999999996</v>
      </c>
      <c r="F3831" s="5">
        <v>0.84299999999999997</v>
      </c>
    </row>
    <row r="3832" spans="2:6" x14ac:dyDescent="0.2">
      <c r="B3832" s="9" t="s">
        <v>10565</v>
      </c>
      <c r="C3832" s="15" t="s">
        <v>10566</v>
      </c>
      <c r="D3832" s="12" t="str">
        <f>"2291-9694"</f>
        <v>2291-9694</v>
      </c>
      <c r="E3832" s="5">
        <v>2.9550000000000001</v>
      </c>
      <c r="F3832" s="5">
        <v>0.46700000000000003</v>
      </c>
    </row>
    <row r="3833" spans="2:6" x14ac:dyDescent="0.2">
      <c r="B3833" s="9" t="s">
        <v>10567</v>
      </c>
      <c r="C3833" s="15" t="s">
        <v>10568</v>
      </c>
      <c r="D3833" s="12" t="str">
        <f>"2368-7959"</f>
        <v>2368-7959</v>
      </c>
      <c r="E3833" s="5">
        <v>4.3879999999999999</v>
      </c>
      <c r="F3833" s="5">
        <v>0.75900000000000001</v>
      </c>
    </row>
    <row r="3834" spans="2:6" x14ac:dyDescent="0.2">
      <c r="B3834" s="9" t="s">
        <v>10569</v>
      </c>
      <c r="C3834" s="15" t="s">
        <v>10570</v>
      </c>
      <c r="D3834" s="12" t="str">
        <f>"2291-5222"</f>
        <v>2291-5222</v>
      </c>
      <c r="E3834" s="5">
        <v>4.7729999999999997</v>
      </c>
      <c r="F3834" s="5">
        <v>0.85</v>
      </c>
    </row>
    <row r="3835" spans="2:6" x14ac:dyDescent="0.2">
      <c r="B3835" s="9" t="s">
        <v>10571</v>
      </c>
      <c r="C3835" s="15" t="s">
        <v>10572</v>
      </c>
      <c r="D3835" s="12" t="str">
        <f>"2369-2960"</f>
        <v>2369-2960</v>
      </c>
      <c r="E3835" s="5">
        <v>4.1120000000000001</v>
      </c>
      <c r="F3835" s="5">
        <v>0.80900000000000005</v>
      </c>
    </row>
    <row r="3836" spans="2:6" x14ac:dyDescent="0.2">
      <c r="B3836" s="9" t="s">
        <v>10573</v>
      </c>
      <c r="C3836" s="15" t="s">
        <v>10574</v>
      </c>
      <c r="D3836" s="12" t="str">
        <f>"2291-9279"</f>
        <v>2291-9279</v>
      </c>
      <c r="E3836" s="5">
        <v>4.1429999999999998</v>
      </c>
      <c r="F3836" s="5">
        <v>0.81200000000000006</v>
      </c>
    </row>
    <row r="3837" spans="2:6" x14ac:dyDescent="0.2">
      <c r="B3837" s="9" t="s">
        <v>10575</v>
      </c>
      <c r="C3837" s="15" t="s">
        <v>10576</v>
      </c>
      <c r="D3837" s="12" t="str">
        <f>"1558-6898"</f>
        <v>1558-6898</v>
      </c>
      <c r="E3837" s="5">
        <v>5.2670000000000003</v>
      </c>
      <c r="F3837" s="5">
        <v>0.97199999999999998</v>
      </c>
    </row>
    <row r="3838" spans="2:6" x14ac:dyDescent="0.2">
      <c r="B3838" s="9" t="s">
        <v>7183</v>
      </c>
      <c r="C3838" s="15" t="s">
        <v>3378</v>
      </c>
      <c r="D3838" s="12" t="str">
        <f>"0950-0340"</f>
        <v>0950-0340</v>
      </c>
      <c r="E3838" s="5">
        <v>1.464</v>
      </c>
      <c r="F3838" s="5">
        <v>0.26300000000000001</v>
      </c>
    </row>
    <row r="3839" spans="2:6" x14ac:dyDescent="0.2">
      <c r="B3839" s="9" t="s">
        <v>7184</v>
      </c>
      <c r="C3839" s="15" t="s">
        <v>3379</v>
      </c>
      <c r="D3839" s="12" t="str">
        <f>"0022-2836"</f>
        <v>0022-2836</v>
      </c>
      <c r="E3839" s="5">
        <v>5.4690000000000003</v>
      </c>
      <c r="F3839" s="5">
        <v>0.753</v>
      </c>
    </row>
    <row r="3840" spans="2:6" x14ac:dyDescent="0.2">
      <c r="B3840" s="9" t="s">
        <v>10577</v>
      </c>
      <c r="C3840" s="15" t="s">
        <v>10578</v>
      </c>
      <c r="D3840" s="12" t="str">
        <f>"1674-2788"</f>
        <v>1674-2788</v>
      </c>
      <c r="E3840" s="5">
        <v>6.2160000000000002</v>
      </c>
      <c r="F3840" s="5">
        <v>0.70499999999999996</v>
      </c>
    </row>
    <row r="3841" spans="2:6" x14ac:dyDescent="0.2">
      <c r="B3841" s="9" t="s">
        <v>7185</v>
      </c>
      <c r="C3841" s="15" t="s">
        <v>3380</v>
      </c>
      <c r="D3841" s="12" t="str">
        <f>"0022-2828"</f>
        <v>0022-2828</v>
      </c>
      <c r="E3841" s="5">
        <v>5</v>
      </c>
      <c r="F3841" s="5">
        <v>0.69499999999999995</v>
      </c>
    </row>
    <row r="3842" spans="2:6" x14ac:dyDescent="0.2">
      <c r="B3842" s="9" t="s">
        <v>7186</v>
      </c>
      <c r="C3842" s="15" t="s">
        <v>3381</v>
      </c>
      <c r="D3842" s="12" t="str">
        <f>"1525-1578"</f>
        <v>1525-1578</v>
      </c>
      <c r="E3842" s="5">
        <v>5.5679999999999996</v>
      </c>
      <c r="F3842" s="5">
        <v>0.84399999999999997</v>
      </c>
    </row>
    <row r="3843" spans="2:6" x14ac:dyDescent="0.2">
      <c r="B3843" s="9" t="s">
        <v>7187</v>
      </c>
      <c r="C3843" s="15" t="s">
        <v>3382</v>
      </c>
      <c r="D3843" s="12" t="str">
        <f>"0952-5041"</f>
        <v>0952-5041</v>
      </c>
      <c r="E3843" s="5">
        <v>5.0979999999999999</v>
      </c>
      <c r="F3843" s="5">
        <v>0.76600000000000001</v>
      </c>
    </row>
    <row r="3844" spans="2:6" x14ac:dyDescent="0.2">
      <c r="B3844" s="9" t="s">
        <v>7188</v>
      </c>
      <c r="C3844" s="15" t="s">
        <v>3383</v>
      </c>
      <c r="D3844" s="12" t="str">
        <f>"0022-2844"</f>
        <v>0022-2844</v>
      </c>
      <c r="E3844" s="5">
        <v>2.395</v>
      </c>
      <c r="F3844" s="5">
        <v>0.34</v>
      </c>
    </row>
    <row r="3845" spans="2:6" x14ac:dyDescent="0.2">
      <c r="B3845" s="9" t="s">
        <v>7189</v>
      </c>
      <c r="C3845" s="15" t="s">
        <v>3384</v>
      </c>
      <c r="D3845" s="12" t="str">
        <f>"1093-3263"</f>
        <v>1093-3263</v>
      </c>
      <c r="E3845" s="5">
        <v>2.5179999999999998</v>
      </c>
      <c r="F3845" s="5">
        <v>0.64</v>
      </c>
    </row>
    <row r="3846" spans="2:6" x14ac:dyDescent="0.2">
      <c r="B3846" s="9" t="s">
        <v>7190</v>
      </c>
      <c r="C3846" s="15" t="s">
        <v>3385</v>
      </c>
      <c r="D3846" s="12" t="str">
        <f>"1567-2379"</f>
        <v>1567-2379</v>
      </c>
      <c r="E3846" s="5">
        <v>2.6110000000000002</v>
      </c>
      <c r="F3846" s="5">
        <v>0.24399999999999999</v>
      </c>
    </row>
    <row r="3847" spans="2:6" x14ac:dyDescent="0.2">
      <c r="B3847" s="9" t="s">
        <v>10579</v>
      </c>
      <c r="C3847" s="15" t="s">
        <v>3386</v>
      </c>
      <c r="D3847" s="12" t="str">
        <f>"0946-2716"</f>
        <v>0946-2716</v>
      </c>
      <c r="E3847" s="5">
        <v>4.5990000000000002</v>
      </c>
      <c r="F3847" s="5">
        <v>0.73099999999999998</v>
      </c>
    </row>
    <row r="3848" spans="2:6" x14ac:dyDescent="0.2">
      <c r="B3848" s="9" t="s">
        <v>7191</v>
      </c>
      <c r="C3848" s="15" t="s">
        <v>3387</v>
      </c>
      <c r="D3848" s="12" t="str">
        <f>"1610-2940"</f>
        <v>1610-2940</v>
      </c>
      <c r="E3848" s="5">
        <v>1.81</v>
      </c>
      <c r="F3848" s="5">
        <v>0.30299999999999999</v>
      </c>
    </row>
    <row r="3849" spans="2:6" x14ac:dyDescent="0.2">
      <c r="B3849" s="9" t="s">
        <v>7192</v>
      </c>
      <c r="C3849" s="15" t="s">
        <v>3388</v>
      </c>
      <c r="D3849" s="12" t="str">
        <f>"0895-8696"</f>
        <v>0895-8696</v>
      </c>
      <c r="E3849" s="5">
        <v>3.444</v>
      </c>
      <c r="F3849" s="5">
        <v>0.443</v>
      </c>
    </row>
    <row r="3850" spans="2:6" x14ac:dyDescent="0.2">
      <c r="B3850" s="9" t="s">
        <v>7193</v>
      </c>
      <c r="C3850" s="15" t="s">
        <v>3389</v>
      </c>
      <c r="D3850" s="12" t="str">
        <f>"0952-3499"</f>
        <v>0952-3499</v>
      </c>
      <c r="E3850" s="5">
        <v>2.137</v>
      </c>
      <c r="F3850" s="5">
        <v>0.26800000000000002</v>
      </c>
    </row>
    <row r="3851" spans="2:6" x14ac:dyDescent="0.2">
      <c r="B3851" s="9" t="s">
        <v>7194</v>
      </c>
      <c r="C3851" s="15" t="s">
        <v>3390</v>
      </c>
      <c r="D3851" s="12" t="str">
        <f>"0362-2525"</f>
        <v>0362-2525</v>
      </c>
      <c r="E3851" s="5">
        <v>1.804</v>
      </c>
      <c r="F3851" s="5">
        <v>0.47599999999999998</v>
      </c>
    </row>
    <row r="3852" spans="2:6" x14ac:dyDescent="0.2">
      <c r="B3852" s="9" t="s">
        <v>7195</v>
      </c>
      <c r="C3852" s="15" t="s">
        <v>3391</v>
      </c>
      <c r="D3852" s="12" t="str">
        <f>"0022-2895"</f>
        <v>0022-2895</v>
      </c>
      <c r="E3852" s="5">
        <v>1.3280000000000001</v>
      </c>
      <c r="F3852" s="5">
        <v>0.14299999999999999</v>
      </c>
    </row>
    <row r="3853" spans="2:6" x14ac:dyDescent="0.2">
      <c r="B3853" s="9" t="s">
        <v>10580</v>
      </c>
      <c r="C3853" s="15" t="s">
        <v>10581</v>
      </c>
      <c r="D3853" s="12" t="str">
        <f>"2005-940X"</f>
        <v>2005-940X</v>
      </c>
      <c r="E3853" s="5">
        <v>2.6829999999999998</v>
      </c>
      <c r="F3853" s="5">
        <v>0.34100000000000003</v>
      </c>
    </row>
    <row r="3854" spans="2:6" x14ac:dyDescent="0.2">
      <c r="B3854" s="9" t="s">
        <v>435</v>
      </c>
      <c r="C3854" s="15" t="s">
        <v>436</v>
      </c>
      <c r="D3854" s="12" t="str">
        <f>"0883-8534"</f>
        <v>0883-8534</v>
      </c>
      <c r="E3854" s="5">
        <v>1.294</v>
      </c>
      <c r="F3854" s="5">
        <v>0.12</v>
      </c>
    </row>
    <row r="3855" spans="2:6" x14ac:dyDescent="0.2">
      <c r="B3855" s="9" t="s">
        <v>10582</v>
      </c>
      <c r="C3855" s="15" t="s">
        <v>10583</v>
      </c>
      <c r="D3855" s="12" t="str">
        <f>"1178-2390"</f>
        <v>1178-2390</v>
      </c>
      <c r="E3855" s="5">
        <v>2.4039999999999999</v>
      </c>
      <c r="F3855" s="5">
        <v>0.32700000000000001</v>
      </c>
    </row>
    <row r="3856" spans="2:6" x14ac:dyDescent="0.2">
      <c r="B3856" s="9" t="s">
        <v>7196</v>
      </c>
      <c r="C3856" s="15" t="s">
        <v>3392</v>
      </c>
      <c r="D3856" s="12" t="str">
        <f>"0047-259X"</f>
        <v>0047-259X</v>
      </c>
      <c r="E3856" s="5">
        <v>1.4730000000000001</v>
      </c>
      <c r="F3856" s="5">
        <v>0.496</v>
      </c>
    </row>
    <row r="3857" spans="2:6" x14ac:dyDescent="0.2">
      <c r="B3857" s="9" t="s">
        <v>7197</v>
      </c>
      <c r="C3857" s="15" t="s">
        <v>3393</v>
      </c>
      <c r="D3857" s="12" t="str">
        <f>"0142-4319"</f>
        <v>0142-4319</v>
      </c>
      <c r="E3857" s="5">
        <v>2.698</v>
      </c>
      <c r="F3857" s="5">
        <v>0.249</v>
      </c>
    </row>
    <row r="3858" spans="2:6" x14ac:dyDescent="0.2">
      <c r="B3858" s="9" t="s">
        <v>10584</v>
      </c>
      <c r="C3858" s="15" t="s">
        <v>10585</v>
      </c>
      <c r="D3858" s="12" t="str">
        <f>"1108-7161"</f>
        <v>1108-7161</v>
      </c>
      <c r="E3858" s="5">
        <v>2.0409999999999999</v>
      </c>
      <c r="F3858" s="5">
        <v>0.23499999999999999</v>
      </c>
    </row>
    <row r="3859" spans="2:6" x14ac:dyDescent="0.2">
      <c r="B3859" s="9" t="s">
        <v>437</v>
      </c>
      <c r="C3859" s="15" t="s">
        <v>438</v>
      </c>
      <c r="D3859" s="12" t="str">
        <f>"0022-2917"</f>
        <v>0022-2917</v>
      </c>
      <c r="E3859" s="5">
        <v>1.742</v>
      </c>
      <c r="F3859" s="5">
        <v>0.29399999999999998</v>
      </c>
    </row>
    <row r="3860" spans="2:6" x14ac:dyDescent="0.2">
      <c r="B3860" s="9" t="s">
        <v>7198</v>
      </c>
      <c r="C3860" s="15" t="s">
        <v>3394</v>
      </c>
      <c r="D3860" s="12" t="str">
        <f>"1156-5233"</f>
        <v>1156-5233</v>
      </c>
      <c r="E3860" s="5">
        <v>2.391</v>
      </c>
      <c r="F3860" s="5">
        <v>0.27600000000000002</v>
      </c>
    </row>
    <row r="3861" spans="2:6" x14ac:dyDescent="0.2">
      <c r="B3861" s="9" t="s">
        <v>10586</v>
      </c>
      <c r="C3861" s="15" t="s">
        <v>10587</v>
      </c>
      <c r="D3861" s="12" t="str">
        <f>"1477-3155"</f>
        <v>1477-3155</v>
      </c>
      <c r="E3861" s="5">
        <v>10.435</v>
      </c>
      <c r="F3861" s="5">
        <v>0.95599999999999996</v>
      </c>
    </row>
    <row r="3862" spans="2:6" x14ac:dyDescent="0.2">
      <c r="B3862" s="9" t="s">
        <v>7199</v>
      </c>
      <c r="C3862" s="15" t="s">
        <v>3395</v>
      </c>
      <c r="D3862" s="12" t="str">
        <f>"1388-0764"</f>
        <v>1388-0764</v>
      </c>
      <c r="E3862" s="5">
        <v>2.2530000000000001</v>
      </c>
      <c r="F3862" s="5">
        <v>0.36499999999999999</v>
      </c>
    </row>
    <row r="3863" spans="2:6" x14ac:dyDescent="0.2">
      <c r="B3863" s="9" t="s">
        <v>10588</v>
      </c>
      <c r="C3863" s="15" t="s">
        <v>10589</v>
      </c>
      <c r="D3863" s="12" t="str">
        <f>"1934-2608"</f>
        <v>1934-2608</v>
      </c>
      <c r="E3863" s="5">
        <v>1.494</v>
      </c>
      <c r="F3863" s="5">
        <v>0.27300000000000002</v>
      </c>
    </row>
    <row r="3864" spans="2:6" x14ac:dyDescent="0.2">
      <c r="B3864" s="9" t="s">
        <v>10590</v>
      </c>
      <c r="C3864" s="15" t="s">
        <v>10591</v>
      </c>
      <c r="D3864" s="12" t="str">
        <f>"2008-9244"</f>
        <v>2008-9244</v>
      </c>
      <c r="E3864" s="5">
        <v>6.391</v>
      </c>
      <c r="F3864" s="5">
        <v>0.76400000000000001</v>
      </c>
    </row>
    <row r="3865" spans="2:6" x14ac:dyDescent="0.2">
      <c r="B3865" s="9" t="s">
        <v>10592</v>
      </c>
      <c r="C3865" s="15" t="s">
        <v>10593</v>
      </c>
      <c r="D3865" s="12" t="str">
        <f>"1540-1405"</f>
        <v>1540-1405</v>
      </c>
      <c r="E3865" s="5">
        <v>11.907999999999999</v>
      </c>
      <c r="F3865" s="5">
        <v>0.91700000000000004</v>
      </c>
    </row>
    <row r="3866" spans="2:6" x14ac:dyDescent="0.2">
      <c r="B3866" s="9" t="s">
        <v>7201</v>
      </c>
      <c r="C3866" s="15" t="s">
        <v>3397</v>
      </c>
      <c r="D3866" s="12" t="str">
        <f>"0027-9684"</f>
        <v>0027-9684</v>
      </c>
      <c r="E3866" s="5">
        <v>1.798</v>
      </c>
      <c r="F3866" s="5">
        <v>0.38900000000000001</v>
      </c>
    </row>
    <row r="3867" spans="2:6" x14ac:dyDescent="0.2">
      <c r="B3867" s="9" t="s">
        <v>10594</v>
      </c>
      <c r="C3867" s="15" t="s">
        <v>10595</v>
      </c>
      <c r="D3867" s="12" t="str">
        <f>"1391-4588"</f>
        <v>1391-4588</v>
      </c>
      <c r="E3867" s="5">
        <v>0.51500000000000001</v>
      </c>
      <c r="F3867" s="5">
        <v>5.6000000000000001E-2</v>
      </c>
    </row>
    <row r="3868" spans="2:6" x14ac:dyDescent="0.2">
      <c r="B3868" s="9" t="s">
        <v>439</v>
      </c>
      <c r="C3868" s="15" t="s">
        <v>440</v>
      </c>
      <c r="D3868" s="12" t="str">
        <f>"1340-3443"</f>
        <v>1340-3443</v>
      </c>
      <c r="E3868" s="5">
        <v>2.343</v>
      </c>
      <c r="F3868" s="5">
        <v>0.26200000000000001</v>
      </c>
    </row>
    <row r="3869" spans="2:6" x14ac:dyDescent="0.2">
      <c r="B3869" s="9" t="s">
        <v>7200</v>
      </c>
      <c r="C3869" s="15" t="s">
        <v>3396</v>
      </c>
      <c r="D3869" s="12" t="str">
        <f>"0163-3864"</f>
        <v>0163-3864</v>
      </c>
      <c r="E3869" s="5">
        <v>4.05</v>
      </c>
      <c r="F3869" s="5">
        <v>0.81299999999999994</v>
      </c>
    </row>
    <row r="3870" spans="2:6" x14ac:dyDescent="0.2">
      <c r="B3870" s="9" t="s">
        <v>10596</v>
      </c>
      <c r="C3870" s="15" t="s">
        <v>10597</v>
      </c>
      <c r="D3870" s="12" t="str">
        <f>"0027-8874"</f>
        <v>0027-8874</v>
      </c>
      <c r="E3870" s="5">
        <v>13.506</v>
      </c>
      <c r="F3870" s="5">
        <v>0.93799999999999994</v>
      </c>
    </row>
    <row r="3871" spans="2:6" x14ac:dyDescent="0.2">
      <c r="B3871" s="9" t="s">
        <v>10598</v>
      </c>
      <c r="C3871" s="15" t="s">
        <v>10599</v>
      </c>
      <c r="D3871" s="12" t="str">
        <f>"0028-2715"</f>
        <v>0028-2715</v>
      </c>
      <c r="E3871" s="5">
        <v>0.40600000000000003</v>
      </c>
      <c r="F3871" s="5">
        <v>4.8000000000000001E-2</v>
      </c>
    </row>
    <row r="3872" spans="2:6" x14ac:dyDescent="0.2">
      <c r="B3872" s="9" t="s">
        <v>7202</v>
      </c>
      <c r="C3872" s="15" t="s">
        <v>3398</v>
      </c>
      <c r="D3872" s="12" t="str">
        <f>"1121-8428"</f>
        <v>1121-8428</v>
      </c>
      <c r="E3872" s="5">
        <v>3.9020000000000001</v>
      </c>
      <c r="F3872" s="5">
        <v>0.74199999999999999</v>
      </c>
    </row>
    <row r="3873" spans="2:6" x14ac:dyDescent="0.2">
      <c r="B3873" s="9" t="s">
        <v>7203</v>
      </c>
      <c r="C3873" s="15" t="s">
        <v>3399</v>
      </c>
      <c r="D3873" s="12" t="str">
        <f>"0022-3018"</f>
        <v>0022-3018</v>
      </c>
      <c r="E3873" s="5">
        <v>2.254</v>
      </c>
      <c r="F3873" s="5">
        <v>0.33300000000000002</v>
      </c>
    </row>
    <row r="3874" spans="2:6" x14ac:dyDescent="0.2">
      <c r="B3874" s="9" t="s">
        <v>441</v>
      </c>
      <c r="C3874" s="15" t="s">
        <v>442</v>
      </c>
      <c r="D3874" s="12" t="str">
        <f>"1084-8045"</f>
        <v>1084-8045</v>
      </c>
      <c r="E3874" s="5">
        <v>6.2809999999999997</v>
      </c>
      <c r="F3874" s="5">
        <v>0.95399999999999996</v>
      </c>
    </row>
    <row r="3875" spans="2:6" x14ac:dyDescent="0.2">
      <c r="B3875" s="9" t="s">
        <v>443</v>
      </c>
      <c r="C3875" s="15" t="s">
        <v>444</v>
      </c>
      <c r="D3875" s="12" t="str">
        <f>"1741-2552"</f>
        <v>1741-2552</v>
      </c>
      <c r="E3875" s="5">
        <v>5.3789999999999996</v>
      </c>
      <c r="F3875" s="5">
        <v>0.79300000000000004</v>
      </c>
    </row>
    <row r="3876" spans="2:6" x14ac:dyDescent="0.2">
      <c r="B3876" s="9" t="s">
        <v>7204</v>
      </c>
      <c r="C3876" s="15" t="s">
        <v>3400</v>
      </c>
      <c r="D3876" s="12" t="str">
        <f>"0300-9564"</f>
        <v>0300-9564</v>
      </c>
      <c r="E3876" s="5">
        <v>3.5750000000000002</v>
      </c>
      <c r="F3876" s="5">
        <v>0.57699999999999996</v>
      </c>
    </row>
    <row r="3877" spans="2:6" x14ac:dyDescent="0.2">
      <c r="B3877" s="9" t="s">
        <v>7205</v>
      </c>
      <c r="C3877" s="15" t="s">
        <v>3401</v>
      </c>
      <c r="D3877" s="12" t="str">
        <f>"0022-3042"</f>
        <v>0022-3042</v>
      </c>
      <c r="E3877" s="5">
        <v>5.3719999999999999</v>
      </c>
      <c r="F3877" s="5">
        <v>0.76200000000000001</v>
      </c>
    </row>
    <row r="3878" spans="2:6" x14ac:dyDescent="0.2">
      <c r="B3878" s="9" t="s">
        <v>10600</v>
      </c>
      <c r="C3878" s="15" t="s">
        <v>10601</v>
      </c>
      <c r="D3878" s="12" t="str">
        <f>"1866-1947"</f>
        <v>1866-1947</v>
      </c>
      <c r="E3878" s="5">
        <v>4.0250000000000004</v>
      </c>
      <c r="F3878" s="5">
        <v>0.66300000000000003</v>
      </c>
    </row>
    <row r="3879" spans="2:6" x14ac:dyDescent="0.2">
      <c r="B3879" s="9" t="s">
        <v>5785</v>
      </c>
      <c r="C3879" s="15" t="s">
        <v>3402</v>
      </c>
      <c r="D3879" s="12" t="str">
        <f>"0953-8194"</f>
        <v>0953-8194</v>
      </c>
      <c r="E3879" s="5">
        <v>3.6269999999999998</v>
      </c>
      <c r="F3879" s="5">
        <v>0.502</v>
      </c>
    </row>
    <row r="3880" spans="2:6" x14ac:dyDescent="0.2">
      <c r="B3880" s="9" t="s">
        <v>445</v>
      </c>
      <c r="C3880" s="15" t="s">
        <v>446</v>
      </c>
      <c r="D3880" s="12" t="str">
        <f>"1743-0003"</f>
        <v>1743-0003</v>
      </c>
      <c r="E3880" s="5">
        <v>4.2619999999999996</v>
      </c>
      <c r="F3880" s="5">
        <v>0.96599999999999997</v>
      </c>
    </row>
    <row r="3881" spans="2:6" x14ac:dyDescent="0.2">
      <c r="B3881" s="9" t="s">
        <v>10602</v>
      </c>
      <c r="C3881" s="15" t="s">
        <v>10603</v>
      </c>
      <c r="D3881" s="12" t="str">
        <f>"2093-0879"</f>
        <v>2093-0879</v>
      </c>
      <c r="E3881" s="5">
        <v>4.9240000000000004</v>
      </c>
      <c r="F3881" s="5">
        <v>0.76400000000000001</v>
      </c>
    </row>
    <row r="3882" spans="2:6" x14ac:dyDescent="0.2">
      <c r="B3882" s="9" t="s">
        <v>5786</v>
      </c>
      <c r="C3882" s="15" t="s">
        <v>3403</v>
      </c>
      <c r="D3882" s="12" t="str">
        <f>"0167-7063"</f>
        <v>0167-7063</v>
      </c>
      <c r="E3882" s="5">
        <v>1.25</v>
      </c>
      <c r="F3882" s="5">
        <v>9.7000000000000003E-2</v>
      </c>
    </row>
    <row r="3883" spans="2:6" x14ac:dyDescent="0.2">
      <c r="B3883" s="9" t="s">
        <v>5787</v>
      </c>
      <c r="C3883" s="15" t="s">
        <v>3404</v>
      </c>
      <c r="D3883" s="12" t="str">
        <f>"1051-2284"</f>
        <v>1051-2284</v>
      </c>
      <c r="E3883" s="5">
        <v>2.4860000000000002</v>
      </c>
      <c r="F3883" s="5">
        <v>0.46200000000000002</v>
      </c>
    </row>
    <row r="3884" spans="2:6" x14ac:dyDescent="0.2">
      <c r="B3884" s="9" t="s">
        <v>447</v>
      </c>
      <c r="C3884" s="15" t="s">
        <v>448</v>
      </c>
      <c r="D3884" s="12" t="str">
        <f>"1557-1890"</f>
        <v>1557-1890</v>
      </c>
      <c r="E3884" s="5">
        <v>4.1470000000000002</v>
      </c>
      <c r="F3884" s="5">
        <v>0.63300000000000001</v>
      </c>
    </row>
    <row r="3885" spans="2:6" x14ac:dyDescent="0.2">
      <c r="B3885" s="9" t="s">
        <v>5788</v>
      </c>
      <c r="C3885" s="15" t="s">
        <v>3405</v>
      </c>
      <c r="D3885" s="12" t="str">
        <f>"0165-5728"</f>
        <v>0165-5728</v>
      </c>
      <c r="E3885" s="5">
        <v>3.4780000000000002</v>
      </c>
      <c r="F3885" s="5">
        <v>0.45100000000000001</v>
      </c>
    </row>
    <row r="3886" spans="2:6" x14ac:dyDescent="0.2">
      <c r="B3886" s="9" t="s">
        <v>449</v>
      </c>
      <c r="C3886" s="15" t="s">
        <v>450</v>
      </c>
      <c r="D3886" s="12" t="str">
        <f>"1742-2094"</f>
        <v>1742-2094</v>
      </c>
      <c r="E3886" s="5">
        <v>8.3219999999999992</v>
      </c>
      <c r="F3886" s="5">
        <v>0.91900000000000004</v>
      </c>
    </row>
    <row r="3887" spans="2:6" x14ac:dyDescent="0.2">
      <c r="B3887" s="9" t="s">
        <v>10604</v>
      </c>
      <c r="C3887" s="15" t="s">
        <v>10605</v>
      </c>
      <c r="D3887" s="12" t="str">
        <f>"1759-8486"</f>
        <v>1759-8486</v>
      </c>
      <c r="E3887" s="5">
        <v>5.8360000000000003</v>
      </c>
      <c r="F3887" s="5">
        <v>1</v>
      </c>
    </row>
    <row r="3888" spans="2:6" x14ac:dyDescent="0.2">
      <c r="B3888" s="9" t="s">
        <v>5789</v>
      </c>
      <c r="C3888" s="15" t="s">
        <v>3406</v>
      </c>
      <c r="D3888" s="12" t="str">
        <f>"0340-5354"</f>
        <v>0340-5354</v>
      </c>
      <c r="E3888" s="5">
        <v>4.8490000000000002</v>
      </c>
      <c r="F3888" s="5">
        <v>0.755</v>
      </c>
    </row>
    <row r="3889" spans="2:6" x14ac:dyDescent="0.2">
      <c r="B3889" s="9" t="s">
        <v>5792</v>
      </c>
      <c r="C3889" s="15" t="s">
        <v>3409</v>
      </c>
      <c r="D3889" s="12" t="str">
        <f>"0911-6044"</f>
        <v>0911-6044</v>
      </c>
      <c r="E3889" s="5">
        <v>1.71</v>
      </c>
      <c r="F3889" s="5">
        <v>0.67700000000000005</v>
      </c>
    </row>
    <row r="3890" spans="2:6" x14ac:dyDescent="0.2">
      <c r="B3890" s="9" t="s">
        <v>5790</v>
      </c>
      <c r="C3890" s="15" t="s">
        <v>3407</v>
      </c>
      <c r="D3890" s="12" t="str">
        <f>"0022-3050"</f>
        <v>0022-3050</v>
      </c>
      <c r="E3890" s="5">
        <v>10.154</v>
      </c>
      <c r="F3890" s="5">
        <v>0.98599999999999999</v>
      </c>
    </row>
    <row r="3891" spans="2:6" x14ac:dyDescent="0.2">
      <c r="B3891" s="9" t="s">
        <v>10606</v>
      </c>
      <c r="C3891" s="15" t="s">
        <v>10607</v>
      </c>
      <c r="D3891" s="12" t="str">
        <f>"1557-0576"</f>
        <v>1557-0576</v>
      </c>
      <c r="E3891" s="5">
        <v>3.649</v>
      </c>
      <c r="F3891" s="5">
        <v>0.93300000000000005</v>
      </c>
    </row>
    <row r="3892" spans="2:6" x14ac:dyDescent="0.2">
      <c r="B3892" s="9" t="s">
        <v>5791</v>
      </c>
      <c r="C3892" s="15" t="s">
        <v>3408</v>
      </c>
      <c r="D3892" s="12" t="str">
        <f>"0022-510X"</f>
        <v>0022-510X</v>
      </c>
      <c r="E3892" s="5">
        <v>3.181</v>
      </c>
      <c r="F3892" s="5">
        <v>0.47099999999999997</v>
      </c>
    </row>
    <row r="3893" spans="2:6" x14ac:dyDescent="0.2">
      <c r="B3893" s="9" t="s">
        <v>10608</v>
      </c>
      <c r="C3893" s="15" t="s">
        <v>10609</v>
      </c>
      <c r="D3893" s="12" t="str">
        <f>"2193-6315"</f>
        <v>2193-6315</v>
      </c>
      <c r="E3893" s="5">
        <v>1.268</v>
      </c>
      <c r="F3893" s="5">
        <v>0.152</v>
      </c>
    </row>
    <row r="3894" spans="2:6" x14ac:dyDescent="0.2">
      <c r="B3894" s="9" t="s">
        <v>10610</v>
      </c>
      <c r="C3894" s="15" t="s">
        <v>10611</v>
      </c>
      <c r="D3894" s="12" t="str">
        <f>"2193-6331"</f>
        <v>2193-6331</v>
      </c>
      <c r="E3894" s="5">
        <v>1.8260000000000001</v>
      </c>
      <c r="F3894" s="5">
        <v>0.29499999999999998</v>
      </c>
    </row>
    <row r="3895" spans="2:6" x14ac:dyDescent="0.2">
      <c r="B3895" s="9" t="s">
        <v>5793</v>
      </c>
      <c r="C3895" s="15" t="s">
        <v>3410</v>
      </c>
      <c r="D3895" s="12" t="str">
        <f>"0167-594X"</f>
        <v>0167-594X</v>
      </c>
      <c r="E3895" s="5">
        <v>4.13</v>
      </c>
      <c r="F3895" s="5">
        <v>0.68799999999999994</v>
      </c>
    </row>
    <row r="3896" spans="2:6" x14ac:dyDescent="0.2">
      <c r="B3896" s="9" t="s">
        <v>5794</v>
      </c>
      <c r="C3896" s="15" t="s">
        <v>3411</v>
      </c>
      <c r="D3896" s="12" t="str">
        <f>"1070-8022"</f>
        <v>1070-8022</v>
      </c>
      <c r="E3896" s="5">
        <v>3.0419999999999998</v>
      </c>
      <c r="F3896" s="5">
        <v>0.58099999999999996</v>
      </c>
    </row>
    <row r="3897" spans="2:6" x14ac:dyDescent="0.2">
      <c r="B3897" s="9" t="s">
        <v>5795</v>
      </c>
      <c r="C3897" s="15" t="s">
        <v>3412</v>
      </c>
      <c r="D3897" s="12" t="str">
        <f>"1554-6578"</f>
        <v>1554-6578</v>
      </c>
      <c r="E3897" s="5">
        <v>3.6850000000000001</v>
      </c>
      <c r="F3897" s="5">
        <v>0.67500000000000004</v>
      </c>
    </row>
    <row r="3898" spans="2:6" x14ac:dyDescent="0.2">
      <c r="B3898" s="9" t="s">
        <v>5796</v>
      </c>
      <c r="C3898" s="15" t="s">
        <v>3413</v>
      </c>
      <c r="D3898" s="12" t="str">
        <f>"0022-3077"</f>
        <v>0022-3077</v>
      </c>
      <c r="E3898" s="5">
        <v>2.714</v>
      </c>
      <c r="F3898" s="5">
        <v>0.46899999999999997</v>
      </c>
    </row>
    <row r="3899" spans="2:6" x14ac:dyDescent="0.2">
      <c r="B3899" s="9" t="s">
        <v>5797</v>
      </c>
      <c r="C3899" s="15" t="s">
        <v>3414</v>
      </c>
      <c r="D3899" s="12" t="str">
        <f>"0895-0172"</f>
        <v>0895-0172</v>
      </c>
      <c r="E3899" s="5">
        <v>2.198</v>
      </c>
      <c r="F3899" s="5">
        <v>0.315</v>
      </c>
    </row>
    <row r="3900" spans="2:6" x14ac:dyDescent="0.2">
      <c r="B3900" s="9" t="s">
        <v>451</v>
      </c>
      <c r="C3900" s="15" t="s">
        <v>452</v>
      </c>
      <c r="D3900" s="12" t="str">
        <f>"1748-6645"</f>
        <v>1748-6645</v>
      </c>
      <c r="E3900" s="5">
        <v>2.8639999999999999</v>
      </c>
      <c r="F3900" s="5">
        <v>0.6</v>
      </c>
    </row>
    <row r="3901" spans="2:6" x14ac:dyDescent="0.2">
      <c r="B3901" s="9" t="s">
        <v>5798</v>
      </c>
      <c r="C3901" s="15" t="s">
        <v>3415</v>
      </c>
      <c r="D3901" s="12" t="str">
        <f>"0150-9861"</f>
        <v>0150-9861</v>
      </c>
      <c r="E3901" s="5">
        <v>3.4470000000000001</v>
      </c>
      <c r="F3901" s="5">
        <v>0.61499999999999999</v>
      </c>
    </row>
    <row r="3902" spans="2:6" x14ac:dyDescent="0.2">
      <c r="B3902" s="9" t="s">
        <v>5799</v>
      </c>
      <c r="C3902" s="15" t="s">
        <v>3416</v>
      </c>
      <c r="D3902" s="12" t="str">
        <f>"0270-6474"</f>
        <v>0270-6474</v>
      </c>
      <c r="E3902" s="5">
        <v>6.1669999999999998</v>
      </c>
      <c r="F3902" s="5">
        <v>0.81699999999999995</v>
      </c>
    </row>
    <row r="3903" spans="2:6" x14ac:dyDescent="0.2">
      <c r="B3903" s="9" t="s">
        <v>5800</v>
      </c>
      <c r="C3903" s="15" t="s">
        <v>3417</v>
      </c>
      <c r="D3903" s="12" t="str">
        <f>"0165-0270"</f>
        <v>0165-0270</v>
      </c>
      <c r="E3903" s="5">
        <v>2.39</v>
      </c>
      <c r="F3903" s="5">
        <v>0.35099999999999998</v>
      </c>
    </row>
    <row r="3904" spans="2:6" x14ac:dyDescent="0.2">
      <c r="B3904" s="9" t="s">
        <v>10612</v>
      </c>
      <c r="C3904" s="15" t="s">
        <v>10613</v>
      </c>
      <c r="D3904" s="12" t="str">
        <f>"0888-0395"</f>
        <v>0888-0395</v>
      </c>
      <c r="E3904" s="5">
        <v>1.23</v>
      </c>
      <c r="F3904" s="5">
        <v>0.23</v>
      </c>
    </row>
    <row r="3905" spans="2:6" x14ac:dyDescent="0.2">
      <c r="B3905" s="9" t="s">
        <v>10614</v>
      </c>
      <c r="C3905" s="15" t="s">
        <v>10615</v>
      </c>
      <c r="D3905" s="12" t="str">
        <f>"1937-321X"</f>
        <v>1937-321X</v>
      </c>
      <c r="E3905" s="5">
        <v>1.31</v>
      </c>
      <c r="F3905" s="5">
        <v>0.30399999999999999</v>
      </c>
    </row>
    <row r="3906" spans="2:6" x14ac:dyDescent="0.2">
      <c r="B3906" s="9" t="s">
        <v>5801</v>
      </c>
      <c r="C3906" s="15" t="s">
        <v>3418</v>
      </c>
      <c r="D3906" s="12" t="str">
        <f>"0360-4012"</f>
        <v>0360-4012</v>
      </c>
      <c r="E3906" s="5">
        <v>4.1639999999999997</v>
      </c>
      <c r="F3906" s="5">
        <v>0.61899999999999999</v>
      </c>
    </row>
    <row r="3907" spans="2:6" x14ac:dyDescent="0.2">
      <c r="B3907" s="9" t="s">
        <v>5802</v>
      </c>
      <c r="C3907" s="15" t="s">
        <v>3419</v>
      </c>
      <c r="D3907" s="12" t="str">
        <f>"0022-3085"</f>
        <v>0022-3085</v>
      </c>
      <c r="E3907" s="5">
        <v>5.1150000000000002</v>
      </c>
      <c r="F3907" s="5">
        <v>0.9</v>
      </c>
    </row>
    <row r="3908" spans="2:6" x14ac:dyDescent="0.2">
      <c r="B3908" s="9" t="s">
        <v>5803</v>
      </c>
      <c r="C3908" s="15" t="s">
        <v>3420</v>
      </c>
      <c r="D3908" s="12" t="str">
        <f>"0898-4921"</f>
        <v>0898-4921</v>
      </c>
      <c r="E3908" s="5">
        <v>3.956</v>
      </c>
      <c r="F3908" s="5">
        <v>0.78600000000000003</v>
      </c>
    </row>
    <row r="3909" spans="2:6" x14ac:dyDescent="0.2">
      <c r="B3909" s="9" t="s">
        <v>453</v>
      </c>
      <c r="C3909" s="15" t="s">
        <v>454</v>
      </c>
      <c r="D3909" s="12" t="str">
        <f>"1933-0707"</f>
        <v>1933-0707</v>
      </c>
      <c r="E3909" s="5">
        <v>2.375</v>
      </c>
      <c r="F3909" s="5">
        <v>0.58099999999999996</v>
      </c>
    </row>
    <row r="3910" spans="2:6" x14ac:dyDescent="0.2">
      <c r="B3910" s="9" t="s">
        <v>10616</v>
      </c>
      <c r="C3910" s="15" t="s">
        <v>10617</v>
      </c>
      <c r="D3910" s="12" t="str">
        <f>"0390-5616"</f>
        <v>0390-5616</v>
      </c>
      <c r="E3910" s="5">
        <v>2.2789999999999999</v>
      </c>
      <c r="F3910" s="5">
        <v>0.46200000000000002</v>
      </c>
    </row>
    <row r="3911" spans="2:6" x14ac:dyDescent="0.2">
      <c r="B3911" s="9" t="s">
        <v>5804</v>
      </c>
      <c r="C3911" s="15" t="s">
        <v>3421</v>
      </c>
      <c r="D3911" s="12" t="str">
        <f>"1547-5654"</f>
        <v>1547-5654</v>
      </c>
      <c r="E3911" s="5">
        <v>3.6019999999999999</v>
      </c>
      <c r="F3911" s="5">
        <v>0.75700000000000001</v>
      </c>
    </row>
    <row r="3912" spans="2:6" x14ac:dyDescent="0.2">
      <c r="B3912" s="9" t="s">
        <v>5805</v>
      </c>
      <c r="C3912" s="15" t="s">
        <v>3422</v>
      </c>
      <c r="D3912" s="12" t="str">
        <f>"0897-7151"</f>
        <v>0897-7151</v>
      </c>
      <c r="E3912" s="5">
        <v>5.2690000000000001</v>
      </c>
      <c r="F3912" s="5">
        <v>0.80600000000000005</v>
      </c>
    </row>
    <row r="3913" spans="2:6" x14ac:dyDescent="0.2">
      <c r="B3913" s="9" t="s">
        <v>5806</v>
      </c>
      <c r="C3913" s="15" t="s">
        <v>3423</v>
      </c>
      <c r="D3913" s="12" t="str">
        <f>"1538-2443"</f>
        <v>1538-2443</v>
      </c>
      <c r="E3913" s="5">
        <v>2.6429999999999998</v>
      </c>
      <c r="F3913" s="5">
        <v>0.33300000000000002</v>
      </c>
    </row>
    <row r="3914" spans="2:6" x14ac:dyDescent="0.2">
      <c r="B3914" s="9" t="s">
        <v>455</v>
      </c>
      <c r="C3914" s="15" t="s">
        <v>456</v>
      </c>
      <c r="D3914" s="12" t="str">
        <f>"0929-8215"</f>
        <v>0929-8215</v>
      </c>
      <c r="E3914" s="5">
        <v>1.143</v>
      </c>
      <c r="F3914" s="5">
        <v>7.1999999999999995E-2</v>
      </c>
    </row>
    <row r="3915" spans="2:6" x14ac:dyDescent="0.2">
      <c r="B3915" s="9" t="s">
        <v>10618</v>
      </c>
      <c r="C3915" s="15" t="s">
        <v>10619</v>
      </c>
      <c r="D3915" s="12" t="str">
        <f>"1345-4676"</f>
        <v>1345-4676</v>
      </c>
      <c r="E3915" s="5">
        <v>0.92</v>
      </c>
      <c r="F3915" s="5">
        <v>0.17399999999999999</v>
      </c>
    </row>
    <row r="3916" spans="2:6" x14ac:dyDescent="0.2">
      <c r="B3916" s="9" t="s">
        <v>5807</v>
      </c>
      <c r="C3916" s="15" t="s">
        <v>3424</v>
      </c>
      <c r="D3916" s="12" t="str">
        <f>"0218-8635"</f>
        <v>0218-8635</v>
      </c>
      <c r="E3916" s="5">
        <v>0.97699999999999998</v>
      </c>
      <c r="F3916" s="5">
        <v>0.152</v>
      </c>
    </row>
    <row r="3917" spans="2:6" x14ac:dyDescent="0.2">
      <c r="B3917" s="9" t="s">
        <v>5808</v>
      </c>
      <c r="C3917" s="15" t="s">
        <v>3425</v>
      </c>
      <c r="D3917" s="12" t="str">
        <f>"1048-5252"</f>
        <v>1048-5252</v>
      </c>
      <c r="E3917" s="5">
        <v>1.2310000000000001</v>
      </c>
      <c r="F3917" s="5">
        <v>0.38400000000000001</v>
      </c>
    </row>
    <row r="3918" spans="2:6" x14ac:dyDescent="0.2">
      <c r="B3918" s="9" t="s">
        <v>457</v>
      </c>
      <c r="C3918" s="15" t="s">
        <v>458</v>
      </c>
      <c r="D3918" s="12" t="str">
        <f>"0191-5886"</f>
        <v>0191-5886</v>
      </c>
      <c r="E3918" s="5">
        <v>2.9380000000000002</v>
      </c>
      <c r="F3918" s="5">
        <v>0.54700000000000004</v>
      </c>
    </row>
    <row r="3919" spans="2:6" x14ac:dyDescent="0.2">
      <c r="B3919" s="9" t="s">
        <v>10620</v>
      </c>
      <c r="C3919" s="15" t="s">
        <v>10621</v>
      </c>
      <c r="D3919" s="12" t="str">
        <f>"1555-4155"</f>
        <v>1555-4155</v>
      </c>
      <c r="E3919" s="5">
        <v>0.76700000000000002</v>
      </c>
      <c r="F3919" s="5">
        <v>6.3E-2</v>
      </c>
    </row>
    <row r="3920" spans="2:6" x14ac:dyDescent="0.2">
      <c r="B3920" s="9" t="s">
        <v>5809</v>
      </c>
      <c r="C3920" s="15" t="s">
        <v>3426</v>
      </c>
      <c r="D3920" s="12" t="str">
        <f>"1071-3581"</f>
        <v>1071-3581</v>
      </c>
      <c r="E3920" s="5">
        <v>5.952</v>
      </c>
      <c r="F3920" s="5">
        <v>0.88700000000000001</v>
      </c>
    </row>
    <row r="3921" spans="2:6" x14ac:dyDescent="0.2">
      <c r="B3921" s="9" t="s">
        <v>5810</v>
      </c>
      <c r="C3921" s="15" t="s">
        <v>3427</v>
      </c>
      <c r="D3921" s="12" t="str">
        <f>"0161-5505"</f>
        <v>0161-5505</v>
      </c>
      <c r="E3921" s="5">
        <v>10.057</v>
      </c>
      <c r="F3921" s="5">
        <v>0.98499999999999999</v>
      </c>
    </row>
    <row r="3922" spans="2:6" x14ac:dyDescent="0.2">
      <c r="B3922" s="9" t="s">
        <v>5811</v>
      </c>
      <c r="C3922" s="15" t="s">
        <v>3428</v>
      </c>
      <c r="D3922" s="12" t="str">
        <f>"0002-0443"</f>
        <v>0002-0443</v>
      </c>
      <c r="E3922" s="5">
        <v>1.7370000000000001</v>
      </c>
      <c r="F3922" s="5">
        <v>0.42099999999999999</v>
      </c>
    </row>
    <row r="3923" spans="2:6" x14ac:dyDescent="0.2">
      <c r="B3923" s="9" t="s">
        <v>5812</v>
      </c>
      <c r="C3923" s="15" t="s">
        <v>3429</v>
      </c>
      <c r="D3923" s="12" t="str">
        <f>"1057-3631"</f>
        <v>1057-3631</v>
      </c>
      <c r="E3923" s="5">
        <v>1.597</v>
      </c>
      <c r="F3923" s="5">
        <v>0.34899999999999998</v>
      </c>
    </row>
    <row r="3924" spans="2:6" x14ac:dyDescent="0.2">
      <c r="B3924" s="9" t="s">
        <v>5813</v>
      </c>
      <c r="C3924" s="15" t="s">
        <v>3430</v>
      </c>
      <c r="D3924" s="12" t="str">
        <f>"0148-4834"</f>
        <v>0148-4834</v>
      </c>
      <c r="E3924" s="5">
        <v>1.726</v>
      </c>
      <c r="F3924" s="5">
        <v>0.41299999999999998</v>
      </c>
    </row>
    <row r="3925" spans="2:6" x14ac:dyDescent="0.2">
      <c r="B3925" s="9" t="s">
        <v>10622</v>
      </c>
      <c r="C3925" s="15" t="s">
        <v>10623</v>
      </c>
      <c r="D3925" s="12" t="str">
        <f>"0966-0429"</f>
        <v>0966-0429</v>
      </c>
      <c r="E3925" s="5">
        <v>3.3250000000000002</v>
      </c>
      <c r="F3925" s="5">
        <v>0.95199999999999996</v>
      </c>
    </row>
    <row r="3926" spans="2:6" x14ac:dyDescent="0.2">
      <c r="B3926" s="9" t="s">
        <v>10624</v>
      </c>
      <c r="C3926" s="15" t="s">
        <v>10625</v>
      </c>
      <c r="D3926" s="12" t="str">
        <f>"1682-3141"</f>
        <v>1682-3141</v>
      </c>
      <c r="E3926" s="5">
        <v>1.6819999999999999</v>
      </c>
      <c r="F3926" s="5">
        <v>0.38900000000000001</v>
      </c>
    </row>
    <row r="3927" spans="2:6" x14ac:dyDescent="0.2">
      <c r="B3927" s="9" t="s">
        <v>5814</v>
      </c>
      <c r="C3927" s="15" t="s">
        <v>3431</v>
      </c>
      <c r="D3927" s="12" t="str">
        <f>"1527-6546"</f>
        <v>1527-6546</v>
      </c>
      <c r="E3927" s="5">
        <v>3.1760000000000002</v>
      </c>
      <c r="F3927" s="5">
        <v>0.92900000000000005</v>
      </c>
    </row>
    <row r="3928" spans="2:6" x14ac:dyDescent="0.2">
      <c r="B3928" s="9" t="s">
        <v>5815</v>
      </c>
      <c r="C3928" s="15" t="s">
        <v>3432</v>
      </c>
      <c r="D3928" s="12" t="str">
        <f>"0022-3166"</f>
        <v>0022-3166</v>
      </c>
      <c r="E3928" s="5">
        <v>4.798</v>
      </c>
      <c r="F3928" s="5">
        <v>0.69299999999999995</v>
      </c>
    </row>
    <row r="3929" spans="2:6" x14ac:dyDescent="0.2">
      <c r="B3929" s="9" t="s">
        <v>5816</v>
      </c>
      <c r="C3929" s="15" t="s">
        <v>3433</v>
      </c>
      <c r="D3929" s="12" t="str">
        <f>"0955-2863"</f>
        <v>0955-2863</v>
      </c>
      <c r="E3929" s="5">
        <v>6.048</v>
      </c>
      <c r="F3929" s="5">
        <v>0.83</v>
      </c>
    </row>
    <row r="3930" spans="2:6" x14ac:dyDescent="0.2">
      <c r="B3930" s="9" t="s">
        <v>5817</v>
      </c>
      <c r="C3930" s="15" t="s">
        <v>3434</v>
      </c>
      <c r="D3930" s="12" t="str">
        <f>"1499-4046"</f>
        <v>1499-4046</v>
      </c>
      <c r="E3930" s="5">
        <v>3.0449999999999999</v>
      </c>
      <c r="F3930" s="5">
        <v>0.72099999999999997</v>
      </c>
    </row>
    <row r="3931" spans="2:6" x14ac:dyDescent="0.2">
      <c r="B3931" s="9" t="s">
        <v>459</v>
      </c>
      <c r="C3931" s="15" t="s">
        <v>460</v>
      </c>
      <c r="D3931" s="12" t="str">
        <f>"1279-7707"</f>
        <v>1279-7707</v>
      </c>
      <c r="E3931" s="5">
        <v>4.0750000000000002</v>
      </c>
      <c r="F3931" s="5">
        <v>0.60399999999999998</v>
      </c>
    </row>
    <row r="3932" spans="2:6" x14ac:dyDescent="0.2">
      <c r="B3932" s="9" t="s">
        <v>5818</v>
      </c>
      <c r="C3932" s="15" t="s">
        <v>3435</v>
      </c>
      <c r="D3932" s="12" t="str">
        <f>"0301-4800"</f>
        <v>0301-4800</v>
      </c>
      <c r="E3932" s="5">
        <v>2</v>
      </c>
      <c r="F3932" s="5">
        <v>0.216</v>
      </c>
    </row>
    <row r="3933" spans="2:6" x14ac:dyDescent="0.2">
      <c r="B3933" s="9" t="s">
        <v>10626</v>
      </c>
      <c r="C3933" s="15" t="s">
        <v>10627</v>
      </c>
      <c r="D3933" s="12" t="str">
        <f>"2211-3649"</f>
        <v>2211-3649</v>
      </c>
      <c r="E3933" s="5">
        <v>1.677</v>
      </c>
      <c r="F3933" s="5">
        <v>0.22700000000000001</v>
      </c>
    </row>
    <row r="3934" spans="2:6" x14ac:dyDescent="0.2">
      <c r="B3934" s="9" t="s">
        <v>461</v>
      </c>
      <c r="C3934" s="15" t="s">
        <v>462</v>
      </c>
      <c r="D3934" s="12" t="str">
        <f>"0144-3615"</f>
        <v>0144-3615</v>
      </c>
      <c r="E3934" s="5">
        <v>1.246</v>
      </c>
      <c r="F3934" s="5">
        <v>8.4000000000000005E-2</v>
      </c>
    </row>
    <row r="3935" spans="2:6" x14ac:dyDescent="0.2">
      <c r="B3935" s="9" t="s">
        <v>5819</v>
      </c>
      <c r="C3935" s="15" t="s">
        <v>3436</v>
      </c>
      <c r="D3935" s="12" t="str">
        <f>"1341-8076"</f>
        <v>1341-8076</v>
      </c>
      <c r="E3935" s="5">
        <v>1.73</v>
      </c>
      <c r="F3935" s="5">
        <v>0.16900000000000001</v>
      </c>
    </row>
    <row r="3936" spans="2:6" x14ac:dyDescent="0.2">
      <c r="B3936" s="9" t="s">
        <v>5820</v>
      </c>
      <c r="C3936" s="15" t="s">
        <v>3437</v>
      </c>
      <c r="D3936" s="12" t="str">
        <f>"1545-9624"</f>
        <v>1545-9624</v>
      </c>
      <c r="E3936" s="5">
        <v>2.1549999999999998</v>
      </c>
      <c r="F3936" s="5">
        <v>0.39600000000000002</v>
      </c>
    </row>
    <row r="3937" spans="2:6" x14ac:dyDescent="0.2">
      <c r="B3937" s="9" t="s">
        <v>5821</v>
      </c>
      <c r="C3937" s="15" t="s">
        <v>3438</v>
      </c>
      <c r="D3937" s="12" t="str">
        <f>"1076-2752"</f>
        <v>1076-2752</v>
      </c>
      <c r="E3937" s="5">
        <v>2.1619999999999999</v>
      </c>
      <c r="F3937" s="5">
        <v>0.39900000000000002</v>
      </c>
    </row>
    <row r="3938" spans="2:6" x14ac:dyDescent="0.2">
      <c r="B3938" s="9" t="s">
        <v>5822</v>
      </c>
      <c r="C3938" s="15" t="s">
        <v>3439</v>
      </c>
      <c r="D3938" s="12" t="str">
        <f>"1341-9145"</f>
        <v>1341-9145</v>
      </c>
      <c r="E3938" s="5">
        <v>2.7080000000000002</v>
      </c>
      <c r="F3938" s="5">
        <v>0.56999999999999995</v>
      </c>
    </row>
    <row r="3939" spans="2:6" x14ac:dyDescent="0.2">
      <c r="B3939" s="9" t="s">
        <v>463</v>
      </c>
      <c r="C3939" s="15" t="s">
        <v>464</v>
      </c>
      <c r="D3939" s="12" t="str">
        <f>"1076-8998"</f>
        <v>1076-8998</v>
      </c>
      <c r="E3939" s="5">
        <v>7.25</v>
      </c>
      <c r="F3939" s="5">
        <v>0.95199999999999996</v>
      </c>
    </row>
    <row r="3940" spans="2:6" x14ac:dyDescent="0.2">
      <c r="B3940" s="9" t="s">
        <v>10628</v>
      </c>
      <c r="C3940" s="15" t="s">
        <v>10629</v>
      </c>
      <c r="D3940" s="12" t="str">
        <f>"1745-6673"</f>
        <v>1745-6673</v>
      </c>
      <c r="E3940" s="5">
        <v>2.6459999999999999</v>
      </c>
      <c r="F3940" s="5">
        <v>0.55300000000000005</v>
      </c>
    </row>
    <row r="3941" spans="2:6" x14ac:dyDescent="0.2">
      <c r="B3941" s="9" t="s">
        <v>465</v>
      </c>
      <c r="C3941" s="15" t="s">
        <v>466</v>
      </c>
      <c r="D3941" s="12" t="str">
        <f>"0963-1798"</f>
        <v>0963-1798</v>
      </c>
      <c r="E3941" s="5">
        <v>4.5609999999999999</v>
      </c>
      <c r="F3941" s="5">
        <v>0.77100000000000002</v>
      </c>
    </row>
    <row r="3942" spans="2:6" x14ac:dyDescent="0.2">
      <c r="B3942" s="9" t="s">
        <v>467</v>
      </c>
      <c r="C3942" s="15" t="s">
        <v>468</v>
      </c>
      <c r="D3942" s="12" t="str">
        <f>"1053-0487"</f>
        <v>1053-0487</v>
      </c>
      <c r="E3942" s="5">
        <v>3.4889999999999999</v>
      </c>
      <c r="F3942" s="5">
        <v>0.91600000000000004</v>
      </c>
    </row>
    <row r="3943" spans="2:6" x14ac:dyDescent="0.2">
      <c r="B3943" s="9" t="s">
        <v>5823</v>
      </c>
      <c r="C3943" s="15" t="s">
        <v>3440</v>
      </c>
      <c r="D3943" s="12" t="str">
        <f>"1080-7683"</f>
        <v>1080-7683</v>
      </c>
      <c r="E3943" s="5">
        <v>2.6709999999999998</v>
      </c>
      <c r="F3943" s="5">
        <v>0.51600000000000001</v>
      </c>
    </row>
    <row r="3944" spans="2:6" ht="25.5" x14ac:dyDescent="0.2">
      <c r="B3944" s="9" t="s">
        <v>5824</v>
      </c>
      <c r="C3944" s="15" t="s">
        <v>10630</v>
      </c>
      <c r="D3944" s="12" t="str">
        <f>"0892-7219"</f>
        <v>0892-7219</v>
      </c>
      <c r="E3944" s="5">
        <v>1.355</v>
      </c>
      <c r="F3944" s="5">
        <v>0.313</v>
      </c>
    </row>
    <row r="3945" spans="2:6" x14ac:dyDescent="0.2">
      <c r="B3945" s="9" t="s">
        <v>10631</v>
      </c>
      <c r="C3945" s="15" t="s">
        <v>10632</v>
      </c>
      <c r="D3945" s="12" t="str">
        <f>"2001-7367"</f>
        <v>2001-7367</v>
      </c>
      <c r="E3945" s="5">
        <v>0.92</v>
      </c>
      <c r="F3945" s="5">
        <v>0.17599999999999999</v>
      </c>
    </row>
    <row r="3946" spans="2:6" x14ac:dyDescent="0.2">
      <c r="B3946" s="9" t="s">
        <v>7694</v>
      </c>
      <c r="C3946" s="15" t="s">
        <v>3609</v>
      </c>
      <c r="D3946" s="12" t="str">
        <f>"0884-2175"</f>
        <v>0884-2175</v>
      </c>
      <c r="E3946" s="5">
        <v>1.716</v>
      </c>
      <c r="F3946" s="5">
        <v>0.40500000000000003</v>
      </c>
    </row>
    <row r="3947" spans="2:6" x14ac:dyDescent="0.2">
      <c r="B3947" s="9" t="s">
        <v>7695</v>
      </c>
      <c r="C3947" s="15" t="s">
        <v>7695</v>
      </c>
      <c r="D3947" s="12" t="str">
        <f>"1297-319X"</f>
        <v>1297-319X</v>
      </c>
      <c r="E3947" s="5">
        <v>4.9290000000000003</v>
      </c>
      <c r="F3947" s="5">
        <v>0.67600000000000005</v>
      </c>
    </row>
    <row r="3948" spans="2:6" x14ac:dyDescent="0.2">
      <c r="B3948" s="9" t="s">
        <v>10633</v>
      </c>
      <c r="C3948" s="15" t="s">
        <v>10634</v>
      </c>
      <c r="D3948" s="12" t="str">
        <f>"1687-8450"</f>
        <v>1687-8450</v>
      </c>
      <c r="E3948" s="5">
        <v>4.375</v>
      </c>
      <c r="F3948" s="5">
        <v>0.53100000000000003</v>
      </c>
    </row>
    <row r="3949" spans="2:6" x14ac:dyDescent="0.2">
      <c r="B3949" s="9" t="s">
        <v>10635</v>
      </c>
      <c r="C3949" s="15" t="s">
        <v>10636</v>
      </c>
      <c r="D3949" s="12" t="str">
        <f>"1078-1552"</f>
        <v>1078-1552</v>
      </c>
      <c r="E3949" s="5">
        <v>1.8089999999999999</v>
      </c>
      <c r="F3949" s="5">
        <v>0.16700000000000001</v>
      </c>
    </row>
    <row r="3950" spans="2:6" x14ac:dyDescent="0.2">
      <c r="B3950" s="9" t="s">
        <v>10637</v>
      </c>
      <c r="C3950" s="15" t="s">
        <v>10638</v>
      </c>
      <c r="D3950" s="12" t="str">
        <f>"1554-7477"</f>
        <v>1554-7477</v>
      </c>
      <c r="E3950" s="5">
        <v>3.84</v>
      </c>
      <c r="F3950" s="5">
        <v>0.432</v>
      </c>
    </row>
    <row r="3951" spans="2:6" x14ac:dyDescent="0.2">
      <c r="B3951" s="9" t="s">
        <v>10639</v>
      </c>
      <c r="C3951" s="15" t="s">
        <v>10640</v>
      </c>
      <c r="D3951" s="12" t="str">
        <f>"2090-004X"</f>
        <v>2090-004X</v>
      </c>
      <c r="E3951" s="5">
        <v>1.909</v>
      </c>
      <c r="F3951" s="5">
        <v>0.28999999999999998</v>
      </c>
    </row>
    <row r="3952" spans="2:6" x14ac:dyDescent="0.2">
      <c r="B3952" s="9" t="s">
        <v>10641</v>
      </c>
      <c r="C3952" s="15" t="s">
        <v>10642</v>
      </c>
      <c r="D3952" s="12" t="str">
        <f>"1943-0620"</f>
        <v>1943-0620</v>
      </c>
      <c r="E3952" s="5">
        <v>3.984</v>
      </c>
      <c r="F3952" s="5">
        <v>0.81799999999999995</v>
      </c>
    </row>
    <row r="3953" spans="2:6" x14ac:dyDescent="0.2">
      <c r="B3953" s="9" t="s">
        <v>10643</v>
      </c>
      <c r="C3953" s="15" t="s">
        <v>10644</v>
      </c>
      <c r="D3953" s="12" t="str">
        <f>"2040-8978"</f>
        <v>2040-8978</v>
      </c>
      <c r="E3953" s="5">
        <v>2.516</v>
      </c>
      <c r="F3953" s="5">
        <v>0.58599999999999997</v>
      </c>
    </row>
    <row r="3954" spans="2:6" x14ac:dyDescent="0.2">
      <c r="B3954" s="9" t="s">
        <v>5828</v>
      </c>
      <c r="C3954" s="15" t="s">
        <v>3444</v>
      </c>
      <c r="D3954" s="12" t="str">
        <f>"1454-4164"</f>
        <v>1454-4164</v>
      </c>
      <c r="E3954" s="5">
        <v>0.58699999999999997</v>
      </c>
      <c r="F3954" s="5">
        <v>7.0999999999999994E-2</v>
      </c>
    </row>
    <row r="3955" spans="2:6" ht="25.5" x14ac:dyDescent="0.2">
      <c r="B3955" s="9" t="s">
        <v>5825</v>
      </c>
      <c r="C3955" s="15" t="s">
        <v>3441</v>
      </c>
      <c r="D3955" s="12" t="str">
        <f>"1084-7529"</f>
        <v>1084-7529</v>
      </c>
      <c r="E3955" s="5">
        <v>2.129</v>
      </c>
      <c r="F3955" s="5">
        <v>0.46500000000000002</v>
      </c>
    </row>
    <row r="3956" spans="2:6" x14ac:dyDescent="0.2">
      <c r="B3956" s="9" t="s">
        <v>5826</v>
      </c>
      <c r="C3956" s="15" t="s">
        <v>3442</v>
      </c>
      <c r="D3956" s="12" t="str">
        <f>"0740-3224"</f>
        <v>0740-3224</v>
      </c>
      <c r="E3956" s="5">
        <v>2.1059999999999999</v>
      </c>
      <c r="F3956" s="5">
        <v>0.44400000000000001</v>
      </c>
    </row>
    <row r="3957" spans="2:6" x14ac:dyDescent="0.2">
      <c r="B3957" s="9" t="s">
        <v>5827</v>
      </c>
      <c r="C3957" s="15" t="s">
        <v>3443</v>
      </c>
      <c r="D3957" s="12" t="str">
        <f>"1070-9762"</f>
        <v>1070-9762</v>
      </c>
      <c r="E3957" s="5">
        <v>0.42199999999999999</v>
      </c>
      <c r="F3957" s="5">
        <v>0.03</v>
      </c>
    </row>
    <row r="3958" spans="2:6" x14ac:dyDescent="0.2">
      <c r="B3958" s="9" t="s">
        <v>10645</v>
      </c>
      <c r="C3958" s="15" t="s">
        <v>10646</v>
      </c>
      <c r="D3958" s="12" t="str">
        <f>"2333-0384"</f>
        <v>2333-0384</v>
      </c>
      <c r="E3958" s="5">
        <v>1.871</v>
      </c>
      <c r="F3958" s="5">
        <v>0.253</v>
      </c>
    </row>
    <row r="3959" spans="2:6" x14ac:dyDescent="0.2">
      <c r="B3959" s="9" t="s">
        <v>10647</v>
      </c>
      <c r="C3959" s="15" t="s">
        <v>10648</v>
      </c>
      <c r="D3959" s="12" t="str">
        <f>"0160-6972"</f>
        <v>0160-6972</v>
      </c>
      <c r="E3959" s="5">
        <v>1.7789999999999999</v>
      </c>
      <c r="F3959" s="5">
        <v>0.19800000000000001</v>
      </c>
    </row>
    <row r="3960" spans="2:6" x14ac:dyDescent="0.2">
      <c r="B3960" s="9" t="s">
        <v>5829</v>
      </c>
      <c r="C3960" s="15" t="s">
        <v>3445</v>
      </c>
      <c r="D3960" s="12" t="str">
        <f>"0278-2391"</f>
        <v>0278-2391</v>
      </c>
      <c r="E3960" s="5">
        <v>1.895</v>
      </c>
      <c r="F3960" s="5">
        <v>0.28599999999999998</v>
      </c>
    </row>
    <row r="3961" spans="2:6" x14ac:dyDescent="0.2">
      <c r="B3961" s="9" t="s">
        <v>10649</v>
      </c>
      <c r="C3961" s="15" t="s">
        <v>10650</v>
      </c>
      <c r="D3961" s="12" t="str">
        <f>"2000-2297"</f>
        <v>2000-2297</v>
      </c>
      <c r="E3961" s="5">
        <v>5.4740000000000002</v>
      </c>
      <c r="F3961" s="5">
        <v>0.77800000000000002</v>
      </c>
    </row>
    <row r="3962" spans="2:6" x14ac:dyDescent="0.2">
      <c r="B3962" s="9" t="s">
        <v>5830</v>
      </c>
      <c r="C3962" s="15" t="s">
        <v>3446</v>
      </c>
      <c r="D3962" s="12" t="str">
        <f>"0904-2512"</f>
        <v>0904-2512</v>
      </c>
      <c r="E3962" s="5">
        <v>4.2530000000000001</v>
      </c>
      <c r="F3962" s="5">
        <v>0.84599999999999997</v>
      </c>
    </row>
    <row r="3963" spans="2:6" x14ac:dyDescent="0.2">
      <c r="B3963" s="9" t="s">
        <v>5831</v>
      </c>
      <c r="C3963" s="15" t="s">
        <v>3447</v>
      </c>
      <c r="D3963" s="12" t="str">
        <f>"1365-2842"</f>
        <v>1365-2842</v>
      </c>
      <c r="E3963" s="5">
        <v>3.8370000000000002</v>
      </c>
      <c r="F3963" s="5">
        <v>0.80200000000000005</v>
      </c>
    </row>
    <row r="3964" spans="2:6" x14ac:dyDescent="0.2">
      <c r="B3964" s="9" t="s">
        <v>10651</v>
      </c>
      <c r="C3964" s="15" t="s">
        <v>10652</v>
      </c>
      <c r="D3964" s="12" t="str">
        <f>"1880-4926"</f>
        <v>1880-4926</v>
      </c>
      <c r="E3964" s="5">
        <v>1.556</v>
      </c>
      <c r="F3964" s="5">
        <v>0.121</v>
      </c>
    </row>
    <row r="3965" spans="2:6" x14ac:dyDescent="0.2">
      <c r="B3965" s="9" t="s">
        <v>471</v>
      </c>
      <c r="C3965" s="15" t="s">
        <v>472</v>
      </c>
      <c r="D3965" s="12" t="str">
        <f>"1099-1379"</f>
        <v>1099-1379</v>
      </c>
      <c r="E3965" s="5">
        <v>8.1739999999999995</v>
      </c>
      <c r="F3965" s="5">
        <v>0.94</v>
      </c>
    </row>
    <row r="3966" spans="2:6" x14ac:dyDescent="0.2">
      <c r="B3966" s="9" t="s">
        <v>473</v>
      </c>
      <c r="C3966" s="15" t="s">
        <v>474</v>
      </c>
      <c r="D3966" s="12" t="str">
        <f>"0160-8061"</f>
        <v>0160-8061</v>
      </c>
      <c r="E3966" s="5">
        <v>1.677</v>
      </c>
      <c r="F3966" s="5">
        <v>0.24099999999999999</v>
      </c>
    </row>
    <row r="3967" spans="2:6" x14ac:dyDescent="0.2">
      <c r="B3967" s="9" t="s">
        <v>10653</v>
      </c>
      <c r="C3967" s="15" t="s">
        <v>10654</v>
      </c>
      <c r="D3967" s="12" t="str">
        <f>"1546-2234"</f>
        <v>1546-2234</v>
      </c>
      <c r="E3967" s="5">
        <v>4.3490000000000002</v>
      </c>
      <c r="F3967" s="5">
        <v>0.73899999999999999</v>
      </c>
    </row>
    <row r="3968" spans="2:6" x14ac:dyDescent="0.2">
      <c r="B3968" s="9" t="s">
        <v>5833</v>
      </c>
      <c r="C3968" s="15" t="s">
        <v>3449</v>
      </c>
      <c r="D3968" s="12" t="str">
        <f>"0022-328X"</f>
        <v>0022-328X</v>
      </c>
      <c r="E3968" s="5">
        <v>2.3690000000000002</v>
      </c>
      <c r="F3968" s="5">
        <v>0.53300000000000003</v>
      </c>
    </row>
    <row r="3969" spans="2:6" x14ac:dyDescent="0.2">
      <c r="B3969" s="9" t="s">
        <v>5832</v>
      </c>
      <c r="C3969" s="15" t="s">
        <v>3448</v>
      </c>
      <c r="D3969" s="12" t="str">
        <f>"1520-6904"</f>
        <v>1520-6904</v>
      </c>
      <c r="E3969" s="5">
        <v>4.3540000000000001</v>
      </c>
      <c r="F3969" s="5">
        <v>0.80700000000000005</v>
      </c>
    </row>
    <row r="3970" spans="2:6" x14ac:dyDescent="0.2">
      <c r="B3970" s="9" t="s">
        <v>469</v>
      </c>
      <c r="C3970" s="15" t="s">
        <v>470</v>
      </c>
      <c r="D3970" s="12" t="str">
        <f>"1091-9392"</f>
        <v>1091-9392</v>
      </c>
      <c r="E3970" s="5">
        <v>2.5710000000000002</v>
      </c>
      <c r="F3970" s="5">
        <v>0.441</v>
      </c>
    </row>
    <row r="3971" spans="2:6" x14ac:dyDescent="0.2">
      <c r="B3971" s="9" t="s">
        <v>475</v>
      </c>
      <c r="C3971" s="15" t="s">
        <v>476</v>
      </c>
      <c r="D3971" s="12" t="str">
        <f>"1434-5293"</f>
        <v>1434-5293</v>
      </c>
      <c r="E3971" s="5">
        <v>1.9379999999999999</v>
      </c>
      <c r="F3971" s="5">
        <v>0.308</v>
      </c>
    </row>
    <row r="3972" spans="2:6" x14ac:dyDescent="0.2">
      <c r="B3972" s="9" t="s">
        <v>5834</v>
      </c>
      <c r="C3972" s="15" t="s">
        <v>3450</v>
      </c>
      <c r="D3972" s="12" t="str">
        <f>"0736-0266"</f>
        <v>0736-0266</v>
      </c>
      <c r="E3972" s="5">
        <v>3.4940000000000002</v>
      </c>
      <c r="F3972" s="5">
        <v>0.77800000000000002</v>
      </c>
    </row>
    <row r="3973" spans="2:6" x14ac:dyDescent="0.2">
      <c r="B3973" s="9" t="s">
        <v>5835</v>
      </c>
      <c r="C3973" s="15" t="s">
        <v>3451</v>
      </c>
      <c r="D3973" s="12" t="str">
        <f>"0949-2658"</f>
        <v>0949-2658</v>
      </c>
      <c r="E3973" s="5">
        <v>1.601</v>
      </c>
      <c r="F3973" s="5">
        <v>0.27200000000000002</v>
      </c>
    </row>
    <row r="3974" spans="2:6" x14ac:dyDescent="0.2">
      <c r="B3974" s="9" t="s">
        <v>5836</v>
      </c>
      <c r="C3974" s="15" t="s">
        <v>3452</v>
      </c>
      <c r="D3974" s="12" t="str">
        <f>"0190-6011"</f>
        <v>0190-6011</v>
      </c>
      <c r="E3974" s="5">
        <v>4.7510000000000003</v>
      </c>
      <c r="F3974" s="5">
        <v>0.97499999999999998</v>
      </c>
    </row>
    <row r="3975" spans="2:6" x14ac:dyDescent="0.2">
      <c r="B3975" s="9" t="s">
        <v>10655</v>
      </c>
      <c r="C3975" s="15" t="s">
        <v>10656</v>
      </c>
      <c r="D3975" s="12" t="str">
        <f>"2309-4990"</f>
        <v>2309-4990</v>
      </c>
      <c r="E3975" s="5">
        <v>1.1180000000000001</v>
      </c>
      <c r="F3975" s="5">
        <v>0.14799999999999999</v>
      </c>
    </row>
    <row r="3976" spans="2:6" x14ac:dyDescent="0.2">
      <c r="B3976" s="9" t="s">
        <v>10657</v>
      </c>
      <c r="C3976" s="15" t="s">
        <v>10658</v>
      </c>
      <c r="D3976" s="12" t="str">
        <f>"1749-799X"</f>
        <v>1749-799X</v>
      </c>
      <c r="E3976" s="5">
        <v>2.359</v>
      </c>
      <c r="F3976" s="5">
        <v>0.49399999999999999</v>
      </c>
    </row>
    <row r="3977" spans="2:6" x14ac:dyDescent="0.2">
      <c r="B3977" s="9" t="s">
        <v>10659</v>
      </c>
      <c r="C3977" s="15" t="s">
        <v>10660</v>
      </c>
      <c r="D3977" s="12" t="str">
        <f>"2214-031X"</f>
        <v>2214-031X</v>
      </c>
      <c r="E3977" s="5">
        <v>5.1909999999999998</v>
      </c>
      <c r="F3977" s="5">
        <v>0.93799999999999994</v>
      </c>
    </row>
    <row r="3978" spans="2:6" x14ac:dyDescent="0.2">
      <c r="B3978" s="9" t="s">
        <v>5837</v>
      </c>
      <c r="C3978" s="15" t="s">
        <v>3453</v>
      </c>
      <c r="D3978" s="12" t="str">
        <f>"0890-5339"</f>
        <v>0890-5339</v>
      </c>
      <c r="E3978" s="5">
        <v>2.512</v>
      </c>
      <c r="F3978" s="5">
        <v>0.53100000000000003</v>
      </c>
    </row>
    <row r="3979" spans="2:6" x14ac:dyDescent="0.2">
      <c r="B3979" s="9" t="s">
        <v>10661</v>
      </c>
      <c r="C3979" s="15" t="s">
        <v>10662</v>
      </c>
      <c r="D3979" s="12" t="str">
        <f>"1590-9921"</f>
        <v>1590-9921</v>
      </c>
      <c r="E3979" s="5">
        <v>2.907</v>
      </c>
      <c r="F3979" s="5">
        <v>0.64200000000000002</v>
      </c>
    </row>
    <row r="3980" spans="2:6" x14ac:dyDescent="0.2">
      <c r="B3980" s="9" t="s">
        <v>477</v>
      </c>
      <c r="C3980" s="15" t="s">
        <v>478</v>
      </c>
      <c r="D3980" s="12" t="str">
        <f>"1916-0216"</f>
        <v>1916-0216</v>
      </c>
      <c r="E3980" s="5">
        <v>2.4409999999999998</v>
      </c>
      <c r="F3980" s="5">
        <v>0.61399999999999999</v>
      </c>
    </row>
    <row r="3981" spans="2:6" x14ac:dyDescent="0.2">
      <c r="B3981" s="9" t="s">
        <v>10663</v>
      </c>
      <c r="C3981" s="15" t="s">
        <v>10664</v>
      </c>
      <c r="D3981" s="12" t="str">
        <f>"1757-2215"</f>
        <v>1757-2215</v>
      </c>
      <c r="E3981" s="5">
        <v>4.234</v>
      </c>
      <c r="F3981" s="5">
        <v>0.83299999999999996</v>
      </c>
    </row>
    <row r="3982" spans="2:6" x14ac:dyDescent="0.2">
      <c r="B3982" s="9" t="s">
        <v>10665</v>
      </c>
      <c r="C3982" s="15" t="s">
        <v>10666</v>
      </c>
      <c r="D3982" s="12" t="str">
        <f>"1940-087X"</f>
        <v>1940-087X</v>
      </c>
      <c r="E3982" s="5">
        <v>1.355</v>
      </c>
      <c r="F3982" s="5">
        <v>0.33300000000000002</v>
      </c>
    </row>
    <row r="3983" spans="2:6" x14ac:dyDescent="0.2">
      <c r="B3983" s="9" t="s">
        <v>10667</v>
      </c>
      <c r="C3983" s="15" t="s">
        <v>10668</v>
      </c>
      <c r="D3983" s="12" t="str">
        <f>"1834-4909"</f>
        <v>1834-4909</v>
      </c>
      <c r="E3983" s="5">
        <v>1.5569999999999999</v>
      </c>
      <c r="F3983" s="5">
        <v>0.36</v>
      </c>
    </row>
    <row r="3984" spans="2:6" x14ac:dyDescent="0.2">
      <c r="B3984" s="9" t="s">
        <v>10669</v>
      </c>
      <c r="C3984" s="15" t="s">
        <v>10670</v>
      </c>
      <c r="D3984" s="12" t="str">
        <f>"2274-5807"</f>
        <v>2274-5807</v>
      </c>
      <c r="E3984" s="5">
        <v>4.6710000000000003</v>
      </c>
      <c r="F3984" s="5">
        <v>0.74</v>
      </c>
    </row>
    <row r="3985" spans="2:6" x14ac:dyDescent="0.2">
      <c r="B3985" s="9" t="s">
        <v>5838</v>
      </c>
      <c r="C3985" s="15" t="s">
        <v>3454</v>
      </c>
      <c r="D3985" s="12" t="str">
        <f>"1034-4810"</f>
        <v>1034-4810</v>
      </c>
      <c r="E3985" s="5">
        <v>1.954</v>
      </c>
      <c r="F3985" s="5">
        <v>0.38800000000000001</v>
      </c>
    </row>
    <row r="3986" spans="2:6" x14ac:dyDescent="0.2">
      <c r="B3986" s="9" t="s">
        <v>5839</v>
      </c>
      <c r="C3986" s="15" t="s">
        <v>3455</v>
      </c>
      <c r="D3986" s="12" t="str">
        <f>"1528-8447"</f>
        <v>1528-8447</v>
      </c>
      <c r="E3986" s="5">
        <v>5.82</v>
      </c>
      <c r="F3986" s="5">
        <v>0.84099999999999997</v>
      </c>
    </row>
    <row r="3987" spans="2:6" x14ac:dyDescent="0.2">
      <c r="B3987" s="9" t="s">
        <v>10671</v>
      </c>
      <c r="C3987" s="15" t="s">
        <v>10672</v>
      </c>
      <c r="D3987" s="12" t="str">
        <f>"1178-7090"</f>
        <v>1178-7090</v>
      </c>
      <c r="E3987" s="5">
        <v>3.133</v>
      </c>
      <c r="F3987" s="5">
        <v>0.45700000000000002</v>
      </c>
    </row>
    <row r="3988" spans="2:6" x14ac:dyDescent="0.2">
      <c r="B3988" s="9" t="s">
        <v>5840</v>
      </c>
      <c r="C3988" s="15" t="s">
        <v>3456</v>
      </c>
      <c r="D3988" s="12" t="str">
        <f>"0885-3924"</f>
        <v>0885-3924</v>
      </c>
      <c r="E3988" s="5">
        <v>3.6120000000000001</v>
      </c>
      <c r="F3988" s="5">
        <v>0.72499999999999998</v>
      </c>
    </row>
    <row r="3989" spans="2:6" x14ac:dyDescent="0.2">
      <c r="B3989" s="9" t="s">
        <v>10673</v>
      </c>
      <c r="C3989" s="15" t="s">
        <v>10674</v>
      </c>
      <c r="D3989" s="12" t="str">
        <f>"0030-9982"</f>
        <v>0030-9982</v>
      </c>
      <c r="E3989" s="5">
        <v>0.78100000000000003</v>
      </c>
      <c r="F3989" s="5">
        <v>0.15</v>
      </c>
    </row>
    <row r="3990" spans="2:6" x14ac:dyDescent="0.2">
      <c r="B3990" s="9" t="s">
        <v>5841</v>
      </c>
      <c r="C3990" s="15" t="s">
        <v>3457</v>
      </c>
      <c r="D3990" s="12" t="str">
        <f>"0825-8597"</f>
        <v>0825-8597</v>
      </c>
      <c r="E3990" s="5">
        <v>2.25</v>
      </c>
      <c r="F3990" s="5">
        <v>0.43</v>
      </c>
    </row>
    <row r="3991" spans="2:6" x14ac:dyDescent="0.2">
      <c r="B3991" s="9" t="s">
        <v>479</v>
      </c>
      <c r="C3991" s="15" t="s">
        <v>480</v>
      </c>
      <c r="D3991" s="12" t="str">
        <f>"1096-6218"</f>
        <v>1096-6218</v>
      </c>
      <c r="E3991" s="5">
        <v>2.9470000000000001</v>
      </c>
      <c r="F3991" s="5">
        <v>0.56100000000000005</v>
      </c>
    </row>
    <row r="3992" spans="2:6" x14ac:dyDescent="0.2">
      <c r="B3992" s="9" t="s">
        <v>5842</v>
      </c>
      <c r="C3992" s="15" t="s">
        <v>3458</v>
      </c>
      <c r="D3992" s="12" t="str">
        <f>"0022-3395"</f>
        <v>0022-3395</v>
      </c>
      <c r="E3992" s="5">
        <v>1.276</v>
      </c>
      <c r="F3992" s="5">
        <v>0.158</v>
      </c>
    </row>
    <row r="3993" spans="2:6" x14ac:dyDescent="0.2">
      <c r="B3993" s="9" t="s">
        <v>10675</v>
      </c>
      <c r="C3993" s="15" t="s">
        <v>10676</v>
      </c>
      <c r="D3993" s="12" t="str">
        <f>"1877-718X"</f>
        <v>1877-718X</v>
      </c>
      <c r="E3993" s="5">
        <v>5.5679999999999996</v>
      </c>
      <c r="F3993" s="5">
        <v>0.78</v>
      </c>
    </row>
    <row r="3994" spans="2:6" x14ac:dyDescent="0.2">
      <c r="B3994" s="9" t="s">
        <v>5843</v>
      </c>
      <c r="C3994" s="15" t="s">
        <v>3459</v>
      </c>
      <c r="D3994" s="12" t="str">
        <f>"0022-3417"</f>
        <v>0022-3417</v>
      </c>
      <c r="E3994" s="5">
        <v>7.9960000000000004</v>
      </c>
      <c r="F3994" s="5">
        <v>0.94799999999999995</v>
      </c>
    </row>
    <row r="3995" spans="2:6" x14ac:dyDescent="0.2">
      <c r="B3995" s="9" t="s">
        <v>10677</v>
      </c>
      <c r="C3995" s="15" t="s">
        <v>10678</v>
      </c>
      <c r="D3995" s="12" t="str">
        <f>"1549-8417"</f>
        <v>1549-8417</v>
      </c>
      <c r="E3995" s="5">
        <v>2.8439999999999999</v>
      </c>
      <c r="F3995" s="5">
        <v>0.59099999999999997</v>
      </c>
    </row>
    <row r="3996" spans="2:6" x14ac:dyDescent="0.2">
      <c r="B3996" s="9" t="s">
        <v>7696</v>
      </c>
      <c r="C3996" s="15" t="s">
        <v>3610</v>
      </c>
      <c r="D3996" s="12" t="str">
        <f>"0933-4173"</f>
        <v>0933-4173</v>
      </c>
      <c r="E3996" s="5">
        <v>0.85599999999999998</v>
      </c>
      <c r="F3996" s="5">
        <v>0.06</v>
      </c>
    </row>
    <row r="3997" spans="2:6" x14ac:dyDescent="0.2">
      <c r="B3997" s="9" t="s">
        <v>481</v>
      </c>
      <c r="C3997" s="15" t="s">
        <v>482</v>
      </c>
      <c r="D3997" s="12" t="str">
        <f>"0021-7557"</f>
        <v>0021-7557</v>
      </c>
      <c r="E3997" s="5">
        <v>2.1970000000000001</v>
      </c>
      <c r="F3997" s="5">
        <v>0.504</v>
      </c>
    </row>
    <row r="3998" spans="2:6" x14ac:dyDescent="0.2">
      <c r="B3998" s="9" t="s">
        <v>5844</v>
      </c>
      <c r="C3998" s="15" t="s">
        <v>3460</v>
      </c>
      <c r="D3998" s="12" t="str">
        <f>"1077-4114"</f>
        <v>1077-4114</v>
      </c>
      <c r="E3998" s="5">
        <v>1.2889999999999999</v>
      </c>
      <c r="F3998" s="5">
        <v>0.14699999999999999</v>
      </c>
    </row>
    <row r="3999" spans="2:6" x14ac:dyDescent="0.2">
      <c r="B3999" s="9" t="s">
        <v>10679</v>
      </c>
      <c r="C3999" s="15" t="s">
        <v>10680</v>
      </c>
      <c r="D3999" s="12" t="str">
        <f>"1305-7707"</f>
        <v>1305-7707</v>
      </c>
      <c r="E3999" s="5">
        <v>0.29299999999999998</v>
      </c>
      <c r="F3999" s="5">
        <v>2.1999999999999999E-2</v>
      </c>
    </row>
    <row r="4000" spans="2:6" x14ac:dyDescent="0.2">
      <c r="B4000" s="9" t="s">
        <v>10681</v>
      </c>
      <c r="C4000" s="15" t="s">
        <v>10682</v>
      </c>
      <c r="D4000" s="12" t="str">
        <f>"2048-7193"</f>
        <v>2048-7193</v>
      </c>
      <c r="E4000" s="5">
        <v>3.1640000000000001</v>
      </c>
      <c r="F4000" s="5">
        <v>0.77500000000000002</v>
      </c>
    </row>
    <row r="4001" spans="2:6" x14ac:dyDescent="0.2">
      <c r="B4001" s="9" t="s">
        <v>5845</v>
      </c>
      <c r="C4001" s="15" t="s">
        <v>3461</v>
      </c>
      <c r="D4001" s="12" t="str">
        <f>"0191-3913"</f>
        <v>0191-3913</v>
      </c>
      <c r="E4001" s="5">
        <v>1.4019999999999999</v>
      </c>
      <c r="F4001" s="5">
        <v>0.186</v>
      </c>
    </row>
    <row r="4002" spans="2:6" x14ac:dyDescent="0.2">
      <c r="B4002" s="9" t="s">
        <v>483</v>
      </c>
      <c r="C4002" s="15" t="s">
        <v>484</v>
      </c>
      <c r="D4002" s="12" t="str">
        <f>"1083-3188"</f>
        <v>1083-3188</v>
      </c>
      <c r="E4002" s="5">
        <v>1.8140000000000001</v>
      </c>
      <c r="F4002" s="5">
        <v>0.318</v>
      </c>
    </row>
    <row r="4003" spans="2:6" x14ac:dyDescent="0.2">
      <c r="B4003" s="9" t="s">
        <v>5846</v>
      </c>
      <c r="C4003" s="15" t="s">
        <v>3463</v>
      </c>
      <c r="D4003" s="12" t="str">
        <f>"0334-018X"</f>
        <v>0334-018X</v>
      </c>
      <c r="E4003" s="5">
        <v>1.6339999999999999</v>
      </c>
      <c r="F4003" s="5">
        <v>0.27100000000000002</v>
      </c>
    </row>
    <row r="4004" spans="2:6" x14ac:dyDescent="0.2">
      <c r="B4004" s="9" t="s">
        <v>5847</v>
      </c>
      <c r="C4004" s="15" t="s">
        <v>3464</v>
      </c>
      <c r="D4004" s="12" t="str">
        <f>"0277-2116"</f>
        <v>0277-2116</v>
      </c>
      <c r="E4004" s="5">
        <v>2.839</v>
      </c>
      <c r="F4004" s="5">
        <v>0.67400000000000004</v>
      </c>
    </row>
    <row r="4005" spans="2:6" x14ac:dyDescent="0.2">
      <c r="B4005" s="9" t="s">
        <v>10683</v>
      </c>
      <c r="C4005" s="15" t="s">
        <v>10684</v>
      </c>
      <c r="D4005" s="12" t="str">
        <f>"0891-5245"</f>
        <v>0891-5245</v>
      </c>
      <c r="E4005" s="5">
        <v>1.8120000000000001</v>
      </c>
      <c r="F4005" s="5">
        <v>0.45200000000000001</v>
      </c>
    </row>
    <row r="4006" spans="2:6" x14ac:dyDescent="0.2">
      <c r="B4006" s="9" t="s">
        <v>10685</v>
      </c>
      <c r="C4006" s="15" t="s">
        <v>10686</v>
      </c>
      <c r="D4006" s="12" t="str">
        <f>"0882-5963"</f>
        <v>0882-5963</v>
      </c>
      <c r="E4006" s="5">
        <v>2.145</v>
      </c>
      <c r="F4006" s="5">
        <v>0.61899999999999999</v>
      </c>
    </row>
    <row r="4007" spans="2:6" x14ac:dyDescent="0.2">
      <c r="B4007" s="9" t="s">
        <v>485</v>
      </c>
      <c r="C4007" s="15" t="s">
        <v>486</v>
      </c>
      <c r="D4007" s="12" t="str">
        <f>"1043-4542"</f>
        <v>1043-4542</v>
      </c>
      <c r="E4007" s="5">
        <v>1.6359999999999999</v>
      </c>
      <c r="F4007" s="5">
        <v>0.36499999999999999</v>
      </c>
    </row>
    <row r="4008" spans="2:6" x14ac:dyDescent="0.2">
      <c r="B4008" s="9" t="s">
        <v>5848</v>
      </c>
      <c r="C4008" s="15" t="s">
        <v>3465</v>
      </c>
      <c r="D4008" s="12" t="str">
        <f>"1060-152X"</f>
        <v>1060-152X</v>
      </c>
      <c r="E4008" s="5">
        <v>1.0409999999999999</v>
      </c>
      <c r="F4008" s="5">
        <v>0.111</v>
      </c>
    </row>
    <row r="4009" spans="2:6" x14ac:dyDescent="0.2">
      <c r="B4009" s="9" t="s">
        <v>5849</v>
      </c>
      <c r="C4009" s="15" t="s">
        <v>3466</v>
      </c>
      <c r="D4009" s="12" t="str">
        <f>"0271-6798"</f>
        <v>0271-6798</v>
      </c>
      <c r="E4009" s="5">
        <v>2.3239999999999998</v>
      </c>
      <c r="F4009" s="5">
        <v>0.55800000000000005</v>
      </c>
    </row>
    <row r="4010" spans="2:6" x14ac:dyDescent="0.2">
      <c r="B4010" s="9" t="s">
        <v>487</v>
      </c>
      <c r="C4010" s="15" t="s">
        <v>488</v>
      </c>
      <c r="D4010" s="12" t="str">
        <f>"0146-8693"</f>
        <v>0146-8693</v>
      </c>
      <c r="E4010" s="5">
        <v>3.1909999999999998</v>
      </c>
      <c r="F4010" s="5">
        <v>0.66200000000000003</v>
      </c>
    </row>
    <row r="4011" spans="2:6" x14ac:dyDescent="0.2">
      <c r="B4011" s="9" t="s">
        <v>5850</v>
      </c>
      <c r="C4011" s="15" t="s">
        <v>3467</v>
      </c>
      <c r="D4011" s="12" t="str">
        <f>"0022-3468"</f>
        <v>0022-3468</v>
      </c>
      <c r="E4011" s="5">
        <v>2.5449999999999999</v>
      </c>
      <c r="F4011" s="5">
        <v>0.62</v>
      </c>
    </row>
    <row r="4012" spans="2:6" x14ac:dyDescent="0.2">
      <c r="B4012" s="9" t="s">
        <v>10687</v>
      </c>
      <c r="C4012" s="15" t="s">
        <v>10688</v>
      </c>
      <c r="D4012" s="12" t="str">
        <f>"1477-5131"</f>
        <v>1477-5131</v>
      </c>
      <c r="E4012" s="5">
        <v>1.83</v>
      </c>
      <c r="F4012" s="5">
        <v>0.34100000000000003</v>
      </c>
    </row>
    <row r="4013" spans="2:6" x14ac:dyDescent="0.2">
      <c r="B4013" s="9" t="s">
        <v>489</v>
      </c>
      <c r="C4013" s="15" t="s">
        <v>3462</v>
      </c>
      <c r="D4013" s="12" t="str">
        <f>"0022-3476"</f>
        <v>0022-3476</v>
      </c>
      <c r="E4013" s="5">
        <v>4.4059999999999997</v>
      </c>
      <c r="F4013" s="5">
        <v>0.92200000000000004</v>
      </c>
    </row>
    <row r="4014" spans="2:6" x14ac:dyDescent="0.2">
      <c r="B4014" s="9" t="s">
        <v>611</v>
      </c>
      <c r="C4014" s="15" t="s">
        <v>612</v>
      </c>
      <c r="D4014" s="12" t="str">
        <f>"0148-6071"</f>
        <v>0148-6071</v>
      </c>
      <c r="E4014" s="5">
        <v>4.016</v>
      </c>
      <c r="F4014" s="5">
        <v>0.56799999999999995</v>
      </c>
    </row>
    <row r="4015" spans="2:6" x14ac:dyDescent="0.2">
      <c r="B4015" s="9" t="s">
        <v>5851</v>
      </c>
      <c r="C4015" s="15" t="s">
        <v>3468</v>
      </c>
      <c r="D4015" s="12" t="str">
        <f>"1075-2617"</f>
        <v>1075-2617</v>
      </c>
      <c r="E4015" s="5">
        <v>1.905</v>
      </c>
      <c r="F4015" s="5">
        <v>0.217</v>
      </c>
    </row>
    <row r="4016" spans="2:6" x14ac:dyDescent="0.2">
      <c r="B4016" s="9" t="s">
        <v>10689</v>
      </c>
      <c r="C4016" s="15" t="s">
        <v>10690</v>
      </c>
      <c r="D4016" s="12" t="str">
        <f>"1089-9472"</f>
        <v>1089-9472</v>
      </c>
      <c r="E4016" s="5">
        <v>1.0840000000000001</v>
      </c>
      <c r="F4016" s="5">
        <v>0.159</v>
      </c>
    </row>
    <row r="4017" spans="2:6" x14ac:dyDescent="0.2">
      <c r="B4017" s="9" t="s">
        <v>5852</v>
      </c>
      <c r="C4017" s="15" t="s">
        <v>3469</v>
      </c>
      <c r="D4017" s="12" t="str">
        <f>"0300-5577"</f>
        <v>0300-5577</v>
      </c>
      <c r="E4017" s="5">
        <v>1.901</v>
      </c>
      <c r="F4017" s="5">
        <v>0.36399999999999999</v>
      </c>
    </row>
    <row r="4018" spans="2:6" x14ac:dyDescent="0.2">
      <c r="B4018" s="9" t="s">
        <v>5853</v>
      </c>
      <c r="C4018" s="15" t="s">
        <v>3470</v>
      </c>
      <c r="D4018" s="12" t="str">
        <f>"0893-2190"</f>
        <v>0893-2190</v>
      </c>
      <c r="E4018" s="5">
        <v>1.6379999999999999</v>
      </c>
      <c r="F4018" s="5">
        <v>0.373</v>
      </c>
    </row>
    <row r="4019" spans="2:6" x14ac:dyDescent="0.2">
      <c r="B4019" s="9" t="s">
        <v>490</v>
      </c>
      <c r="C4019" s="15" t="s">
        <v>491</v>
      </c>
      <c r="D4019" s="12" t="str">
        <f>"0743-8346"</f>
        <v>0743-8346</v>
      </c>
      <c r="E4019" s="5">
        <v>2.5209999999999999</v>
      </c>
      <c r="F4019" s="5">
        <v>0.61199999999999999</v>
      </c>
    </row>
    <row r="4020" spans="2:6" x14ac:dyDescent="0.2">
      <c r="B4020" s="9" t="s">
        <v>10691</v>
      </c>
      <c r="C4020" s="15" t="s">
        <v>10692</v>
      </c>
      <c r="D4020" s="12" t="str">
        <f>"2093-2278"</f>
        <v>2093-2278</v>
      </c>
      <c r="E4020" s="5">
        <v>2.6139999999999999</v>
      </c>
      <c r="F4020" s="5">
        <v>0.54900000000000004</v>
      </c>
    </row>
    <row r="4021" spans="2:6" x14ac:dyDescent="0.2">
      <c r="B4021" s="9" t="s">
        <v>5854</v>
      </c>
      <c r="C4021" s="15" t="s">
        <v>3471</v>
      </c>
      <c r="D4021" s="12" t="str">
        <f>"0022-3484"</f>
        <v>0022-3484</v>
      </c>
      <c r="E4021" s="5">
        <v>4.4189999999999996</v>
      </c>
      <c r="F4021" s="5">
        <v>0.86799999999999999</v>
      </c>
    </row>
    <row r="4022" spans="2:6" x14ac:dyDescent="0.2">
      <c r="B4022" s="9" t="s">
        <v>5855</v>
      </c>
      <c r="C4022" s="15" t="s">
        <v>3472</v>
      </c>
      <c r="D4022" s="12" t="str">
        <f>"0022-3492"</f>
        <v>0022-3492</v>
      </c>
      <c r="E4022" s="5">
        <v>6.9930000000000003</v>
      </c>
      <c r="F4022" s="5">
        <v>0.97799999999999998</v>
      </c>
    </row>
    <row r="4023" spans="2:6" x14ac:dyDescent="0.2">
      <c r="B4023" s="9" t="s">
        <v>5856</v>
      </c>
      <c r="C4023" s="15" t="s">
        <v>3473</v>
      </c>
      <c r="D4023" s="12" t="str">
        <f>"1085-9489"</f>
        <v>1085-9489</v>
      </c>
      <c r="E4023" s="5">
        <v>3.4940000000000002</v>
      </c>
      <c r="F4023" s="5">
        <v>0.56299999999999994</v>
      </c>
    </row>
    <row r="4024" spans="2:6" x14ac:dyDescent="0.2">
      <c r="B4024" s="9" t="s">
        <v>492</v>
      </c>
      <c r="C4024" s="15" t="s">
        <v>493</v>
      </c>
      <c r="D4024" s="12" t="str">
        <f>"0022-3506"</f>
        <v>0022-3506</v>
      </c>
      <c r="E4024" s="5">
        <v>5.117</v>
      </c>
      <c r="F4024" s="5">
        <v>0.92200000000000004</v>
      </c>
    </row>
    <row r="4025" spans="2:6" x14ac:dyDescent="0.2">
      <c r="B4025" s="9" t="s">
        <v>494</v>
      </c>
      <c r="C4025" s="15" t="s">
        <v>495</v>
      </c>
      <c r="D4025" s="12" t="str">
        <f>"0022-3891"</f>
        <v>0022-3891</v>
      </c>
      <c r="E4025" s="5">
        <v>3.7770000000000001</v>
      </c>
      <c r="F4025" s="5">
        <v>0.73399999999999999</v>
      </c>
    </row>
    <row r="4026" spans="2:6" x14ac:dyDescent="0.2">
      <c r="B4026" s="9" t="s">
        <v>496</v>
      </c>
      <c r="C4026" s="15" t="s">
        <v>497</v>
      </c>
      <c r="D4026" s="12" t="str">
        <f>"1943-2763"</f>
        <v>1943-2763</v>
      </c>
      <c r="E4026" s="5">
        <v>3.1320000000000001</v>
      </c>
      <c r="F4026" s="5">
        <v>0.52800000000000002</v>
      </c>
    </row>
    <row r="4027" spans="2:6" x14ac:dyDescent="0.2">
      <c r="B4027" s="9" t="s">
        <v>10693</v>
      </c>
      <c r="C4027" s="15" t="s">
        <v>10694</v>
      </c>
      <c r="D4027" s="12" t="str">
        <f>"2075-4426"</f>
        <v>2075-4426</v>
      </c>
      <c r="E4027" s="5">
        <v>4.9450000000000003</v>
      </c>
      <c r="F4027" s="5">
        <v>0.86899999999999999</v>
      </c>
    </row>
    <row r="4028" spans="2:6" x14ac:dyDescent="0.2">
      <c r="B4028" s="9" t="s">
        <v>10695</v>
      </c>
      <c r="C4028" s="15" t="s">
        <v>10696</v>
      </c>
      <c r="D4028" s="12" t="str">
        <f>"1866-5888"</f>
        <v>1866-5888</v>
      </c>
      <c r="E4028" s="5">
        <v>1.375</v>
      </c>
      <c r="F4028" s="5">
        <v>0.14499999999999999</v>
      </c>
    </row>
    <row r="4029" spans="2:6" x14ac:dyDescent="0.2">
      <c r="B4029" s="9" t="s">
        <v>498</v>
      </c>
      <c r="C4029" s="15" t="s">
        <v>499</v>
      </c>
      <c r="D4029" s="12" t="str">
        <f>"0022-3514"</f>
        <v>0022-3514</v>
      </c>
      <c r="E4029" s="5">
        <v>7.673</v>
      </c>
      <c r="F4029" s="5">
        <v>0.96899999999999997</v>
      </c>
    </row>
    <row r="4030" spans="2:6" x14ac:dyDescent="0.2">
      <c r="B4030" s="9" t="s">
        <v>5860</v>
      </c>
      <c r="C4030" s="15" t="s">
        <v>3477</v>
      </c>
      <c r="D4030" s="12" t="str">
        <f>"0731-7085"</f>
        <v>0731-7085</v>
      </c>
      <c r="E4030" s="5">
        <v>3.9350000000000001</v>
      </c>
      <c r="F4030" s="5">
        <v>0.72299999999999998</v>
      </c>
    </row>
    <row r="4031" spans="2:6" x14ac:dyDescent="0.2">
      <c r="B4031" s="9" t="s">
        <v>5861</v>
      </c>
      <c r="C4031" s="15" t="s">
        <v>3478</v>
      </c>
      <c r="D4031" s="12" t="str">
        <f>"1567-567X"</f>
        <v>1567-567X</v>
      </c>
      <c r="E4031" s="5">
        <v>2.7450000000000001</v>
      </c>
      <c r="F4031" s="5">
        <v>0.35599999999999998</v>
      </c>
    </row>
    <row r="4032" spans="2:6" x14ac:dyDescent="0.2">
      <c r="B4032" s="9" t="s">
        <v>5862</v>
      </c>
      <c r="C4032" s="15" t="s">
        <v>3479</v>
      </c>
      <c r="D4032" s="12" t="str">
        <f>"0022-3565"</f>
        <v>0022-3565</v>
      </c>
      <c r="E4032" s="5">
        <v>4.03</v>
      </c>
      <c r="F4032" s="5">
        <v>0.60699999999999998</v>
      </c>
    </row>
    <row r="4033" spans="2:6" x14ac:dyDescent="0.2">
      <c r="B4033" s="9" t="s">
        <v>5863</v>
      </c>
      <c r="C4033" s="15" t="s">
        <v>3480</v>
      </c>
      <c r="D4033" s="12" t="str">
        <f>"1347-8613"</f>
        <v>1347-8613</v>
      </c>
      <c r="E4033" s="5">
        <v>3.3370000000000002</v>
      </c>
      <c r="F4033" s="5">
        <v>0.47299999999999998</v>
      </c>
    </row>
    <row r="4034" spans="2:6" x14ac:dyDescent="0.2">
      <c r="B4034" s="9" t="s">
        <v>10697</v>
      </c>
      <c r="C4034" s="15" t="s">
        <v>10698</v>
      </c>
      <c r="D4034" s="12" t="str">
        <f>"1056-8719"</f>
        <v>1056-8719</v>
      </c>
      <c r="E4034" s="5">
        <v>1.95</v>
      </c>
      <c r="F4034" s="5">
        <v>0.193</v>
      </c>
    </row>
    <row r="4035" spans="2:6" x14ac:dyDescent="0.2">
      <c r="B4035" s="9" t="s">
        <v>10699</v>
      </c>
      <c r="C4035" s="15" t="s">
        <v>10700</v>
      </c>
      <c r="D4035" s="12" t="str">
        <f>"2095-1779"</f>
        <v>2095-1779</v>
      </c>
      <c r="E4035" s="5">
        <v>4.7690000000000001</v>
      </c>
      <c r="F4035" s="5">
        <v>0.73799999999999999</v>
      </c>
    </row>
    <row r="4036" spans="2:6" x14ac:dyDescent="0.2">
      <c r="B4036" s="9" t="s">
        <v>10701</v>
      </c>
      <c r="C4036" s="15" t="s">
        <v>10702</v>
      </c>
      <c r="D4036" s="12" t="str">
        <f>"1872-5120"</f>
        <v>1872-5120</v>
      </c>
      <c r="E4036" s="5">
        <v>2.75</v>
      </c>
      <c r="F4036" s="5">
        <v>0.36399999999999999</v>
      </c>
    </row>
    <row r="4037" spans="2:6" x14ac:dyDescent="0.2">
      <c r="B4037" s="9" t="s">
        <v>5858</v>
      </c>
      <c r="C4037" s="15" t="s">
        <v>3475</v>
      </c>
      <c r="D4037" s="12" t="str">
        <f>"0022-3573"</f>
        <v>0022-3573</v>
      </c>
      <c r="E4037" s="5">
        <v>3.7650000000000001</v>
      </c>
      <c r="F4037" s="5">
        <v>0.56000000000000005</v>
      </c>
    </row>
    <row r="4038" spans="2:6" x14ac:dyDescent="0.2">
      <c r="B4038" s="9" t="s">
        <v>5857</v>
      </c>
      <c r="C4038" s="15" t="s">
        <v>3474</v>
      </c>
      <c r="D4038" s="12" t="str">
        <f>"1482-1826"</f>
        <v>1482-1826</v>
      </c>
      <c r="E4038" s="5">
        <v>2.327</v>
      </c>
      <c r="F4038" s="5">
        <v>0.25800000000000001</v>
      </c>
    </row>
    <row r="4039" spans="2:6" x14ac:dyDescent="0.2">
      <c r="B4039" s="9" t="s">
        <v>5859</v>
      </c>
      <c r="C4039" s="15" t="s">
        <v>3476</v>
      </c>
      <c r="D4039" s="12" t="str">
        <f>"0022-3549"</f>
        <v>0022-3549</v>
      </c>
      <c r="E4039" s="5">
        <v>3.5339999999999998</v>
      </c>
      <c r="F4039" s="5">
        <v>0.57299999999999995</v>
      </c>
    </row>
    <row r="4040" spans="2:6" x14ac:dyDescent="0.2">
      <c r="B4040" s="9" t="s">
        <v>5864</v>
      </c>
      <c r="C4040" s="15" t="s">
        <v>3481</v>
      </c>
      <c r="D4040" s="12" t="str">
        <f>"0094-8705"</f>
        <v>0094-8705</v>
      </c>
      <c r="E4040" s="5">
        <v>1.022</v>
      </c>
      <c r="F4040" s="5">
        <v>0.30399999999999999</v>
      </c>
    </row>
    <row r="4041" spans="2:6" x14ac:dyDescent="0.2">
      <c r="B4041" s="9" t="s">
        <v>5865</v>
      </c>
      <c r="C4041" s="15" t="s">
        <v>3482</v>
      </c>
      <c r="D4041" s="12" t="str">
        <f>"1011-1344"</f>
        <v>1011-1344</v>
      </c>
      <c r="E4041" s="5">
        <v>6.2519999999999998</v>
      </c>
      <c r="F4041" s="5">
        <v>0.90100000000000002</v>
      </c>
    </row>
    <row r="4042" spans="2:6" x14ac:dyDescent="0.2">
      <c r="B4042" s="9" t="s">
        <v>10703</v>
      </c>
      <c r="C4042" s="15" t="s">
        <v>10704</v>
      </c>
      <c r="D4042" s="12" t="str">
        <f>"1947-7988"</f>
        <v>1947-7988</v>
      </c>
      <c r="E4042" s="5">
        <v>1.8360000000000001</v>
      </c>
      <c r="F4042" s="5">
        <v>0.35399999999999998</v>
      </c>
    </row>
    <row r="4043" spans="2:6" x14ac:dyDescent="0.2">
      <c r="B4043" s="9" t="s">
        <v>10705</v>
      </c>
      <c r="C4043" s="15" t="s">
        <v>10706</v>
      </c>
      <c r="D4043" s="12" t="str">
        <f>"1543-3080"</f>
        <v>1543-3080</v>
      </c>
      <c r="E4043" s="5">
        <v>2.5920000000000001</v>
      </c>
      <c r="F4043" s="5">
        <v>0.52900000000000003</v>
      </c>
    </row>
    <row r="4044" spans="2:6" x14ac:dyDescent="0.2">
      <c r="B4044" s="9" t="s">
        <v>5866</v>
      </c>
      <c r="C4044" s="15" t="s">
        <v>3483</v>
      </c>
      <c r="D4044" s="12" t="str">
        <f>"0953-4075"</f>
        <v>0953-4075</v>
      </c>
      <c r="E4044" s="5">
        <v>1.917</v>
      </c>
      <c r="F4044" s="5">
        <v>0.374</v>
      </c>
    </row>
    <row r="4045" spans="2:6" x14ac:dyDescent="0.2">
      <c r="B4045" s="9" t="s">
        <v>5867</v>
      </c>
      <c r="C4045" s="15" t="s">
        <v>3484</v>
      </c>
      <c r="D4045" s="12" t="str">
        <f>"0047-2689"</f>
        <v>0047-2689</v>
      </c>
      <c r="E4045" s="5">
        <v>2.8279999999999998</v>
      </c>
      <c r="F4045" s="5">
        <v>0.63500000000000001</v>
      </c>
    </row>
    <row r="4046" spans="2:6" x14ac:dyDescent="0.2">
      <c r="B4046" s="9" t="s">
        <v>5868</v>
      </c>
      <c r="C4046" s="15" t="s">
        <v>3485</v>
      </c>
      <c r="D4046" s="12" t="str">
        <f>"0022-3697"</f>
        <v>0022-3697</v>
      </c>
      <c r="E4046" s="5">
        <v>3.9950000000000001</v>
      </c>
      <c r="F4046" s="5">
        <v>0.68100000000000005</v>
      </c>
    </row>
    <row r="4047" spans="2:6" x14ac:dyDescent="0.2">
      <c r="B4047" s="9" t="s">
        <v>10707</v>
      </c>
      <c r="C4047" s="15" t="s">
        <v>10708</v>
      </c>
      <c r="D4047" s="12" t="str">
        <f>"1880-6805"</f>
        <v>1880-6805</v>
      </c>
      <c r="E4047" s="5">
        <v>2.867</v>
      </c>
      <c r="F4047" s="5">
        <v>0.51900000000000002</v>
      </c>
    </row>
    <row r="4048" spans="2:6" x14ac:dyDescent="0.2">
      <c r="B4048" s="9" t="s">
        <v>5870</v>
      </c>
      <c r="C4048" s="15" t="s">
        <v>3487</v>
      </c>
      <c r="D4048" s="12" t="str">
        <f>"1138-7548"</f>
        <v>1138-7548</v>
      </c>
      <c r="E4048" s="5">
        <v>4.1580000000000004</v>
      </c>
      <c r="F4048" s="5">
        <v>0.80200000000000005</v>
      </c>
    </row>
    <row r="4049" spans="2:6" x14ac:dyDescent="0.2">
      <c r="B4049" s="9" t="s">
        <v>5873</v>
      </c>
      <c r="C4049" s="15" t="s">
        <v>3490</v>
      </c>
      <c r="D4049" s="12" t="str">
        <f>"0022-3751"</f>
        <v>0022-3751</v>
      </c>
      <c r="E4049" s="5">
        <v>5.1820000000000004</v>
      </c>
      <c r="F4049" s="5">
        <v>0.86399999999999999</v>
      </c>
    </row>
    <row r="4050" spans="2:6" x14ac:dyDescent="0.2">
      <c r="B4050" s="9" t="s">
        <v>5871</v>
      </c>
      <c r="C4050" s="15" t="s">
        <v>3488</v>
      </c>
      <c r="D4050" s="12" t="str">
        <f>"0867-5910"</f>
        <v>0867-5910</v>
      </c>
      <c r="E4050" s="5">
        <v>3.0110000000000001</v>
      </c>
      <c r="F4050" s="5">
        <v>0.56799999999999995</v>
      </c>
    </row>
    <row r="4051" spans="2:6" x14ac:dyDescent="0.2">
      <c r="B4051" s="9" t="s">
        <v>5872</v>
      </c>
      <c r="C4051" s="15" t="s">
        <v>3489</v>
      </c>
      <c r="D4051" s="12" t="str">
        <f>"1880-6546"</f>
        <v>1880-6546</v>
      </c>
      <c r="E4051" s="5">
        <v>2.7810000000000001</v>
      </c>
      <c r="F4051" s="5">
        <v>0.48099999999999998</v>
      </c>
    </row>
    <row r="4052" spans="2:6" x14ac:dyDescent="0.2">
      <c r="B4052" s="9" t="s">
        <v>10709</v>
      </c>
      <c r="C4052" s="15" t="s">
        <v>10710</v>
      </c>
      <c r="D4052" s="12" t="str">
        <f>"1836-9553"</f>
        <v>1836-9553</v>
      </c>
      <c r="E4052" s="5">
        <v>7</v>
      </c>
      <c r="F4052" s="5">
        <v>1</v>
      </c>
    </row>
    <row r="4053" spans="2:6" x14ac:dyDescent="0.2">
      <c r="B4053" s="9" t="s">
        <v>5869</v>
      </c>
      <c r="C4053" s="15" t="s">
        <v>3486</v>
      </c>
      <c r="D4053" s="12" t="str">
        <f>"0894-3230"</f>
        <v>0894-3230</v>
      </c>
      <c r="E4053" s="5">
        <v>2.391</v>
      </c>
      <c r="F4053" s="5">
        <v>0.47399999999999998</v>
      </c>
    </row>
    <row r="4054" spans="2:6" x14ac:dyDescent="0.2">
      <c r="B4054" s="9" t="s">
        <v>5874</v>
      </c>
      <c r="C4054" s="15" t="s">
        <v>3491</v>
      </c>
      <c r="D4054" s="12" t="str">
        <f>"0742-3098"</f>
        <v>0742-3098</v>
      </c>
      <c r="E4054" s="5">
        <v>13.007</v>
      </c>
      <c r="F4054" s="5">
        <v>0.97499999999999998</v>
      </c>
    </row>
    <row r="4055" spans="2:6" x14ac:dyDescent="0.2">
      <c r="B4055" s="9" t="s">
        <v>5875</v>
      </c>
      <c r="C4055" s="15" t="s">
        <v>3492</v>
      </c>
      <c r="D4055" s="12" t="str">
        <f>"0971-7811"</f>
        <v>0971-7811</v>
      </c>
      <c r="E4055" s="5">
        <v>1.175</v>
      </c>
      <c r="F4055" s="5">
        <v>0.27200000000000002</v>
      </c>
    </row>
    <row r="4056" spans="2:6" x14ac:dyDescent="0.2">
      <c r="B4056" s="9" t="s">
        <v>5876</v>
      </c>
      <c r="C4056" s="15" t="s">
        <v>3493</v>
      </c>
      <c r="D4056" s="12" t="str">
        <f>"1748-6815"</f>
        <v>1748-6815</v>
      </c>
      <c r="E4056" s="5">
        <v>2.74</v>
      </c>
      <c r="F4056" s="5">
        <v>0.57599999999999996</v>
      </c>
    </row>
    <row r="4057" spans="2:6" x14ac:dyDescent="0.2">
      <c r="B4057" s="9" t="s">
        <v>10711</v>
      </c>
      <c r="C4057" s="15" t="s">
        <v>10712</v>
      </c>
      <c r="D4057" s="12" t="str">
        <f>"2000-656X"</f>
        <v>2000-656X</v>
      </c>
      <c r="E4057" s="5">
        <v>1.462</v>
      </c>
      <c r="F4057" s="5">
        <v>0.23499999999999999</v>
      </c>
    </row>
    <row r="4058" spans="2:6" x14ac:dyDescent="0.2">
      <c r="B4058" s="9" t="s">
        <v>7697</v>
      </c>
      <c r="C4058" s="15" t="s">
        <v>3611</v>
      </c>
      <c r="D4058" s="12" t="str">
        <f>"0368-2811"</f>
        <v>0368-2811</v>
      </c>
      <c r="E4058" s="5">
        <v>3.0190000000000001</v>
      </c>
      <c r="F4058" s="5">
        <v>0.25700000000000001</v>
      </c>
    </row>
    <row r="4059" spans="2:6" x14ac:dyDescent="0.2">
      <c r="B4059" s="9" t="s">
        <v>7698</v>
      </c>
      <c r="C4059" s="15" t="s">
        <v>3612</v>
      </c>
      <c r="D4059" s="12" t="str">
        <f>"1344-6304"</f>
        <v>1344-6304</v>
      </c>
      <c r="E4059" s="5">
        <v>1.3620000000000001</v>
      </c>
      <c r="F4059" s="5">
        <v>8.6999999999999994E-2</v>
      </c>
    </row>
    <row r="4060" spans="2:6" x14ac:dyDescent="0.2">
      <c r="B4060" s="9" t="s">
        <v>613</v>
      </c>
      <c r="C4060" s="15" t="s">
        <v>614</v>
      </c>
      <c r="D4060" s="12" t="str">
        <f>"1742-7932"</f>
        <v>1742-7932</v>
      </c>
      <c r="E4060" s="5">
        <v>1.4179999999999999</v>
      </c>
      <c r="F4060" s="5">
        <v>0.31</v>
      </c>
    </row>
    <row r="4061" spans="2:6" x14ac:dyDescent="0.2">
      <c r="B4061" s="9" t="s">
        <v>7699</v>
      </c>
      <c r="C4061" s="15" t="s">
        <v>3613</v>
      </c>
      <c r="D4061" s="12" t="str">
        <f>"0021-5155"</f>
        <v>0021-5155</v>
      </c>
      <c r="E4061" s="5">
        <v>2.4470000000000001</v>
      </c>
      <c r="F4061" s="5">
        <v>0.45200000000000001</v>
      </c>
    </row>
    <row r="4062" spans="2:6" x14ac:dyDescent="0.2">
      <c r="B4062" s="9" t="s">
        <v>10713</v>
      </c>
      <c r="C4062" s="15" t="s">
        <v>10714</v>
      </c>
      <c r="D4062" s="12" t="str">
        <f>"1867-1071"</f>
        <v>1867-1071</v>
      </c>
      <c r="E4062" s="5">
        <v>2.3740000000000001</v>
      </c>
      <c r="F4062" s="5">
        <v>0.36799999999999999</v>
      </c>
    </row>
    <row r="4063" spans="2:6" x14ac:dyDescent="0.2">
      <c r="B4063" s="9" t="s">
        <v>7700</v>
      </c>
      <c r="C4063" s="15" t="s">
        <v>3614</v>
      </c>
      <c r="D4063" s="12" t="str">
        <f>"0047-1917"</f>
        <v>0047-1917</v>
      </c>
      <c r="E4063" s="5">
        <v>0.64900000000000002</v>
      </c>
      <c r="F4063" s="5">
        <v>0.219</v>
      </c>
    </row>
    <row r="4064" spans="2:6" x14ac:dyDescent="0.2">
      <c r="B4064" s="9" t="s">
        <v>615</v>
      </c>
      <c r="C4064" s="15" t="s">
        <v>616</v>
      </c>
      <c r="D4064" s="12" t="str">
        <f>"0021-5368"</f>
        <v>0021-5368</v>
      </c>
      <c r="E4064" s="5">
        <v>1.444</v>
      </c>
      <c r="F4064" s="5">
        <v>0.30199999999999999</v>
      </c>
    </row>
    <row r="4065" spans="2:6" x14ac:dyDescent="0.2">
      <c r="B4065" s="9" t="s">
        <v>10715</v>
      </c>
      <c r="C4065" s="15" t="s">
        <v>10716</v>
      </c>
      <c r="D4065" s="12" t="str">
        <f>"1741-1122"</f>
        <v>1741-1122</v>
      </c>
      <c r="E4065" s="5">
        <v>1.806</v>
      </c>
      <c r="F4065" s="5">
        <v>0.33600000000000002</v>
      </c>
    </row>
    <row r="4066" spans="2:6" x14ac:dyDescent="0.2">
      <c r="B4066" s="9" t="s">
        <v>500</v>
      </c>
      <c r="C4066" s="15" t="s">
        <v>501</v>
      </c>
      <c r="D4066" s="12" t="str">
        <f>"0933-1433"</f>
        <v>0933-1433</v>
      </c>
      <c r="E4066" s="5">
        <v>2.8130000000000002</v>
      </c>
      <c r="F4066" s="5">
        <v>0.72499999999999998</v>
      </c>
    </row>
    <row r="4067" spans="2:6" x14ac:dyDescent="0.2">
      <c r="B4067" s="9" t="s">
        <v>5877</v>
      </c>
      <c r="C4067" s="15" t="s">
        <v>3494</v>
      </c>
      <c r="D4067" s="12" t="str">
        <f>"1091-028X"</f>
        <v>1091-028X</v>
      </c>
      <c r="E4067" s="5">
        <v>1.663</v>
      </c>
      <c r="F4067" s="5">
        <v>0.30399999999999999</v>
      </c>
    </row>
    <row r="4068" spans="2:6" x14ac:dyDescent="0.2">
      <c r="B4068" s="9" t="s">
        <v>5878</v>
      </c>
      <c r="C4068" s="15" t="s">
        <v>3495</v>
      </c>
      <c r="D4068" s="12" t="str">
        <f>"1088-4246"</f>
        <v>1088-4246</v>
      </c>
      <c r="E4068" s="5">
        <v>1.8109999999999999</v>
      </c>
      <c r="F4068" s="5">
        <v>0.309</v>
      </c>
    </row>
    <row r="4069" spans="2:6" x14ac:dyDescent="0.2">
      <c r="B4069" s="9" t="s">
        <v>502</v>
      </c>
      <c r="C4069" s="15" t="s">
        <v>503</v>
      </c>
      <c r="D4069" s="12" t="str">
        <f>"1098-3007"</f>
        <v>1098-3007</v>
      </c>
      <c r="E4069" s="5">
        <v>3.8780000000000001</v>
      </c>
      <c r="F4069" s="5">
        <v>0.95499999999999996</v>
      </c>
    </row>
    <row r="4070" spans="2:6" x14ac:dyDescent="0.2">
      <c r="B4070" s="9" t="s">
        <v>10717</v>
      </c>
      <c r="C4070" s="15" t="s">
        <v>10718</v>
      </c>
      <c r="D4070" s="12" t="str">
        <f>"1743-9760"</f>
        <v>1743-9760</v>
      </c>
      <c r="E4070" s="5">
        <v>4.1970000000000001</v>
      </c>
      <c r="F4070" s="5">
        <v>0.82699999999999996</v>
      </c>
    </row>
    <row r="4071" spans="2:6" x14ac:dyDescent="0.2">
      <c r="B4071" s="9" t="s">
        <v>504</v>
      </c>
      <c r="C4071" s="15" t="s">
        <v>505</v>
      </c>
      <c r="D4071" s="12" t="str">
        <f>"0022-3859"</f>
        <v>0022-3859</v>
      </c>
      <c r="E4071" s="5">
        <v>1.476</v>
      </c>
      <c r="F4071" s="5">
        <v>0.32900000000000001</v>
      </c>
    </row>
    <row r="4072" spans="2:6" x14ac:dyDescent="0.2">
      <c r="B4072" s="9" t="s">
        <v>10719</v>
      </c>
      <c r="C4072" s="15" t="s">
        <v>10720</v>
      </c>
      <c r="D4072" s="12" t="str">
        <f>"1759-8273"</f>
        <v>1759-8273</v>
      </c>
      <c r="E4072" s="5">
        <v>0.83</v>
      </c>
      <c r="F4072" s="5">
        <v>0.21099999999999999</v>
      </c>
    </row>
    <row r="4073" spans="2:6" x14ac:dyDescent="0.2">
      <c r="B4073" s="9" t="s">
        <v>5879</v>
      </c>
      <c r="C4073" s="15" t="s">
        <v>3496</v>
      </c>
      <c r="D4073" s="12" t="str">
        <f>"0094-9930"</f>
        <v>0094-9930</v>
      </c>
      <c r="E4073" s="5">
        <v>1.0509999999999999</v>
      </c>
      <c r="F4073" s="5">
        <v>0.12</v>
      </c>
    </row>
    <row r="4074" spans="2:6" x14ac:dyDescent="0.2">
      <c r="B4074" s="9" t="s">
        <v>10721</v>
      </c>
      <c r="C4074" s="15" t="s">
        <v>10722</v>
      </c>
      <c r="D4074" s="12" t="str">
        <f>"0278-095X"</f>
        <v>0278-095X</v>
      </c>
      <c r="E4074" s="5">
        <v>1.6579999999999999</v>
      </c>
      <c r="F4074" s="5">
        <v>0.24199999999999999</v>
      </c>
    </row>
    <row r="4075" spans="2:6" ht="25.5" x14ac:dyDescent="0.2">
      <c r="B4075" s="9" t="s">
        <v>5880</v>
      </c>
      <c r="C4075" s="15" t="s">
        <v>3497</v>
      </c>
      <c r="D4075" s="12" t="str">
        <f>"1052-3928"</f>
        <v>1052-3928</v>
      </c>
      <c r="E4075" s="5">
        <v>1.19</v>
      </c>
      <c r="F4075" s="5">
        <v>0.24399999999999999</v>
      </c>
    </row>
    <row r="4076" spans="2:6" x14ac:dyDescent="0.2">
      <c r="B4076" s="9" t="s">
        <v>5881</v>
      </c>
      <c r="C4076" s="15" t="s">
        <v>3498</v>
      </c>
      <c r="D4076" s="12" t="str">
        <f>"8755-7223"</f>
        <v>8755-7223</v>
      </c>
      <c r="E4076" s="5">
        <v>2.1040000000000001</v>
      </c>
      <c r="F4076" s="5">
        <v>0.59499999999999997</v>
      </c>
    </row>
    <row r="4077" spans="2:6" x14ac:dyDescent="0.2">
      <c r="B4077" s="9" t="s">
        <v>5882</v>
      </c>
      <c r="C4077" s="15" t="s">
        <v>3499</v>
      </c>
      <c r="D4077" s="12" t="str">
        <f>"0022-3913"</f>
        <v>0022-3913</v>
      </c>
      <c r="E4077" s="5">
        <v>3.4260000000000002</v>
      </c>
      <c r="F4077" s="5">
        <v>0.73599999999999999</v>
      </c>
    </row>
    <row r="4078" spans="2:6" x14ac:dyDescent="0.2">
      <c r="B4078" s="9" t="s">
        <v>10723</v>
      </c>
      <c r="C4078" s="15" t="s">
        <v>10724</v>
      </c>
      <c r="D4078" s="12" t="str">
        <f>"1059-941X"</f>
        <v>1059-941X</v>
      </c>
      <c r="E4078" s="5">
        <v>2.7519999999999998</v>
      </c>
      <c r="F4078" s="5">
        <v>0.61499999999999999</v>
      </c>
    </row>
    <row r="4079" spans="2:6" x14ac:dyDescent="0.2">
      <c r="B4079" s="9" t="s">
        <v>10725</v>
      </c>
      <c r="C4079" s="15" t="s">
        <v>10726</v>
      </c>
      <c r="D4079" s="12" t="str">
        <f>"1883-1958"</f>
        <v>1883-1958</v>
      </c>
      <c r="E4079" s="5">
        <v>4.6420000000000003</v>
      </c>
      <c r="F4079" s="5">
        <v>0.879</v>
      </c>
    </row>
    <row r="4080" spans="2:6" x14ac:dyDescent="0.2">
      <c r="B4080" s="9" t="s">
        <v>5883</v>
      </c>
      <c r="C4080" s="15" t="s">
        <v>3500</v>
      </c>
      <c r="D4080" s="12" t="str">
        <f>"1535-3893"</f>
        <v>1535-3893</v>
      </c>
      <c r="E4080" s="5">
        <v>4.4660000000000002</v>
      </c>
      <c r="F4080" s="5">
        <v>0.79200000000000004</v>
      </c>
    </row>
    <row r="4081" spans="2:6" x14ac:dyDescent="0.2">
      <c r="B4081" s="9" t="s">
        <v>10727</v>
      </c>
      <c r="C4081" s="15" t="s">
        <v>10728</v>
      </c>
      <c r="D4081" s="12" t="str">
        <f>"1874-3919"</f>
        <v>1874-3919</v>
      </c>
      <c r="E4081" s="5">
        <v>4.0439999999999996</v>
      </c>
      <c r="F4081" s="5">
        <v>0.74</v>
      </c>
    </row>
    <row r="4082" spans="2:6" x14ac:dyDescent="0.2">
      <c r="B4082" s="9" t="s">
        <v>506</v>
      </c>
      <c r="C4082" s="15" t="s">
        <v>507</v>
      </c>
      <c r="D4082" s="12" t="str">
        <f>"1351-0126"</f>
        <v>1351-0126</v>
      </c>
      <c r="E4082" s="5">
        <v>2.952</v>
      </c>
      <c r="F4082" s="5">
        <v>0.89700000000000002</v>
      </c>
    </row>
    <row r="4083" spans="2:6" x14ac:dyDescent="0.2">
      <c r="B4083" s="9" t="s">
        <v>5884</v>
      </c>
      <c r="C4083" s="15" t="s">
        <v>3501</v>
      </c>
      <c r="D4083" s="12" t="str">
        <f>"1180-4882"</f>
        <v>1180-4882</v>
      </c>
      <c r="E4083" s="5">
        <v>6.1859999999999999</v>
      </c>
      <c r="F4083" s="5">
        <v>0.88</v>
      </c>
    </row>
    <row r="4084" spans="2:6" x14ac:dyDescent="0.2">
      <c r="B4084" s="9" t="s">
        <v>10729</v>
      </c>
      <c r="C4084" s="15" t="s">
        <v>10730</v>
      </c>
      <c r="D4084" s="12" t="str">
        <f>"1527-4160"</f>
        <v>1527-4160</v>
      </c>
      <c r="E4084" s="5">
        <v>1.325</v>
      </c>
      <c r="F4084" s="5">
        <v>0.17599999999999999</v>
      </c>
    </row>
    <row r="4085" spans="2:6" x14ac:dyDescent="0.2">
      <c r="B4085" s="9" t="s">
        <v>5885</v>
      </c>
      <c r="C4085" s="15" t="s">
        <v>3502</v>
      </c>
      <c r="D4085" s="12" t="str">
        <f>"0022-3956"</f>
        <v>0022-3956</v>
      </c>
      <c r="E4085" s="5">
        <v>4.7910000000000004</v>
      </c>
      <c r="F4085" s="5">
        <v>0.80100000000000005</v>
      </c>
    </row>
    <row r="4086" spans="2:6" x14ac:dyDescent="0.2">
      <c r="B4086" s="9" t="s">
        <v>508</v>
      </c>
      <c r="C4086" s="15" t="s">
        <v>509</v>
      </c>
      <c r="D4086" s="12" t="str">
        <f>"0279-1072"</f>
        <v>0279-1072</v>
      </c>
      <c r="E4086" s="5">
        <v>2.7480000000000002</v>
      </c>
      <c r="F4086" s="5">
        <v>0.45400000000000001</v>
      </c>
    </row>
    <row r="4087" spans="2:6" x14ac:dyDescent="0.2">
      <c r="B4087" s="9" t="s">
        <v>510</v>
      </c>
      <c r="C4087" s="15" t="s">
        <v>511</v>
      </c>
      <c r="D4087" s="12" t="str">
        <f>"0734-2829"</f>
        <v>0734-2829</v>
      </c>
      <c r="E4087" s="5">
        <v>1.645</v>
      </c>
      <c r="F4087" s="5">
        <v>0.217</v>
      </c>
    </row>
    <row r="4088" spans="2:6" x14ac:dyDescent="0.2">
      <c r="B4088" s="9" t="s">
        <v>512</v>
      </c>
      <c r="C4088" s="15" t="s">
        <v>513</v>
      </c>
      <c r="D4088" s="12" t="str">
        <f>"0022-3980"</f>
        <v>0022-3980</v>
      </c>
      <c r="E4088" s="5">
        <v>2.92</v>
      </c>
      <c r="F4088" s="5">
        <v>0.68300000000000005</v>
      </c>
    </row>
    <row r="4089" spans="2:6" x14ac:dyDescent="0.2">
      <c r="B4089" s="9" t="s">
        <v>10731</v>
      </c>
      <c r="C4089" s="15" t="s">
        <v>10732</v>
      </c>
      <c r="D4089" s="12" t="str">
        <f>"1433-0237"</f>
        <v>1433-0237</v>
      </c>
      <c r="E4089" s="5">
        <v>0.83499999999999996</v>
      </c>
      <c r="F4089" s="5">
        <v>0.13700000000000001</v>
      </c>
    </row>
    <row r="4090" spans="2:6" x14ac:dyDescent="0.2">
      <c r="B4090" s="9" t="s">
        <v>516</v>
      </c>
      <c r="C4090" s="15" t="s">
        <v>517</v>
      </c>
      <c r="D4090" s="12" t="str">
        <f>"0090-6905"</f>
        <v>0090-6905</v>
      </c>
      <c r="E4090" s="5">
        <v>1.18</v>
      </c>
      <c r="F4090" s="5">
        <v>0.505</v>
      </c>
    </row>
    <row r="4091" spans="2:6" x14ac:dyDescent="0.2">
      <c r="B4091" s="9" t="s">
        <v>514</v>
      </c>
      <c r="C4091" s="15" t="s">
        <v>515</v>
      </c>
      <c r="D4091" s="12" t="str">
        <f>"0091-6471"</f>
        <v>0091-6471</v>
      </c>
      <c r="E4091" s="5">
        <v>0.6</v>
      </c>
      <c r="F4091" s="5">
        <v>7.9000000000000001E-2</v>
      </c>
    </row>
    <row r="4092" spans="2:6" x14ac:dyDescent="0.2">
      <c r="B4092" s="9" t="s">
        <v>518</v>
      </c>
      <c r="C4092" s="15" t="s">
        <v>519</v>
      </c>
      <c r="D4092" s="12" t="str">
        <f>"0882-2689"</f>
        <v>0882-2689</v>
      </c>
      <c r="E4092" s="5">
        <v>2.645</v>
      </c>
      <c r="F4092" s="5">
        <v>0.42299999999999999</v>
      </c>
    </row>
    <row r="4093" spans="2:6" x14ac:dyDescent="0.2">
      <c r="B4093" s="9" t="s">
        <v>5886</v>
      </c>
      <c r="C4093" s="15" t="s">
        <v>3503</v>
      </c>
      <c r="D4093" s="12" t="str">
        <f>"0269-8811"</f>
        <v>0269-8811</v>
      </c>
      <c r="E4093" s="5">
        <v>4.1529999999999996</v>
      </c>
      <c r="F4093" s="5">
        <v>0.71799999999999997</v>
      </c>
    </row>
    <row r="4094" spans="2:6" x14ac:dyDescent="0.2">
      <c r="B4094" s="9" t="s">
        <v>5887</v>
      </c>
      <c r="C4094" s="15" t="s">
        <v>3504</v>
      </c>
      <c r="D4094" s="12" t="str">
        <f>"0269-8803"</f>
        <v>0269-8803</v>
      </c>
      <c r="E4094" s="5">
        <v>1.333</v>
      </c>
      <c r="F4094" s="5">
        <v>0.14299999999999999</v>
      </c>
    </row>
    <row r="4095" spans="2:6" x14ac:dyDescent="0.2">
      <c r="B4095" s="9" t="s">
        <v>520</v>
      </c>
      <c r="C4095" s="15" t="s">
        <v>521</v>
      </c>
      <c r="D4095" s="12" t="str">
        <f>"0279-3695"</f>
        <v>0279-3695</v>
      </c>
      <c r="E4095" s="5">
        <v>1.0980000000000001</v>
      </c>
      <c r="F4095" s="5">
        <v>0.183</v>
      </c>
    </row>
    <row r="4096" spans="2:6" x14ac:dyDescent="0.2">
      <c r="B4096" s="9" t="s">
        <v>522</v>
      </c>
      <c r="C4096" s="15" t="s">
        <v>523</v>
      </c>
      <c r="D4096" s="12" t="str">
        <f>"0734-7332"</f>
        <v>0734-7332</v>
      </c>
      <c r="E4096" s="5">
        <v>2.0289999999999999</v>
      </c>
      <c r="F4096" s="5">
        <v>0.32800000000000001</v>
      </c>
    </row>
    <row r="4097" spans="2:6" x14ac:dyDescent="0.2">
      <c r="B4097" s="9" t="s">
        <v>5888</v>
      </c>
      <c r="C4097" s="15" t="s">
        <v>10733</v>
      </c>
      <c r="D4097" s="12" t="str">
        <f>"0167-482X"</f>
        <v>0167-482X</v>
      </c>
      <c r="E4097" s="5">
        <v>2.9489999999999998</v>
      </c>
      <c r="F4097" s="5">
        <v>0.59</v>
      </c>
    </row>
    <row r="4098" spans="2:6" x14ac:dyDescent="0.2">
      <c r="B4098" s="9" t="s">
        <v>5889</v>
      </c>
      <c r="C4098" s="15" t="s">
        <v>3505</v>
      </c>
      <c r="D4098" s="12" t="str">
        <f>"0022-3999"</f>
        <v>0022-3999</v>
      </c>
      <c r="E4098" s="5">
        <v>3.0059999999999998</v>
      </c>
      <c r="F4098" s="5">
        <v>0.5</v>
      </c>
    </row>
    <row r="4099" spans="2:6" x14ac:dyDescent="0.2">
      <c r="B4099" s="9" t="s">
        <v>5890</v>
      </c>
      <c r="C4099" s="15" t="s">
        <v>3507</v>
      </c>
      <c r="D4099" s="12" t="str">
        <f>"0022-4006"</f>
        <v>0022-4006</v>
      </c>
      <c r="E4099" s="5">
        <v>1.821</v>
      </c>
      <c r="F4099" s="5">
        <v>0.28699999999999998</v>
      </c>
    </row>
    <row r="4100" spans="2:6" x14ac:dyDescent="0.2">
      <c r="B4100" s="9" t="s">
        <v>524</v>
      </c>
      <c r="C4100" s="15" t="s">
        <v>525</v>
      </c>
      <c r="D4100" s="12" t="str">
        <f>"1078-4659"</f>
        <v>1078-4659</v>
      </c>
      <c r="E4100" s="5">
        <v>1.7909999999999999</v>
      </c>
      <c r="F4100" s="5">
        <v>0.27600000000000002</v>
      </c>
    </row>
    <row r="4101" spans="2:6" x14ac:dyDescent="0.2">
      <c r="B4101" s="9" t="s">
        <v>5891</v>
      </c>
      <c r="C4101" s="15" t="s">
        <v>3508</v>
      </c>
      <c r="D4101" s="12" t="str">
        <f>"1745-655X"</f>
        <v>1745-655X</v>
      </c>
      <c r="E4101" s="5">
        <v>2.222</v>
      </c>
      <c r="F4101" s="5">
        <v>0.42699999999999999</v>
      </c>
    </row>
    <row r="4102" spans="2:6" x14ac:dyDescent="0.2">
      <c r="B4102" s="9" t="s">
        <v>526</v>
      </c>
      <c r="C4102" s="15" t="s">
        <v>3506</v>
      </c>
      <c r="D4102" s="12" t="str">
        <f>"2198-1833"</f>
        <v>2198-1833</v>
      </c>
      <c r="E4102" s="5">
        <v>2.3410000000000002</v>
      </c>
      <c r="F4102" s="5">
        <v>0.45100000000000001</v>
      </c>
    </row>
    <row r="4103" spans="2:6" x14ac:dyDescent="0.2">
      <c r="B4103" s="9" t="s">
        <v>5892</v>
      </c>
      <c r="C4103" s="15" t="s">
        <v>3509</v>
      </c>
      <c r="D4103" s="12" t="str">
        <f>"0022-4065"</f>
        <v>0022-4065</v>
      </c>
      <c r="E4103" s="5">
        <v>3.9460000000000002</v>
      </c>
      <c r="F4103" s="5">
        <v>0.90400000000000003</v>
      </c>
    </row>
    <row r="4104" spans="2:6" x14ac:dyDescent="0.2">
      <c r="B4104" s="9" t="s">
        <v>10734</v>
      </c>
      <c r="C4104" s="15" t="s">
        <v>10735</v>
      </c>
      <c r="D4104" s="12" t="str">
        <f>"0022-4073"</f>
        <v>0022-4073</v>
      </c>
      <c r="E4104" s="5">
        <v>2.468</v>
      </c>
      <c r="F4104" s="5">
        <v>0.628</v>
      </c>
    </row>
    <row r="4105" spans="2:6" x14ac:dyDescent="0.2">
      <c r="B4105" s="9" t="s">
        <v>10736</v>
      </c>
      <c r="C4105" s="15" t="s">
        <v>10737</v>
      </c>
      <c r="D4105" s="12" t="str">
        <f>"2197-3792"</f>
        <v>2197-3792</v>
      </c>
      <c r="E4105" s="5">
        <v>2.1920000000000002</v>
      </c>
      <c r="F4105" s="5">
        <v>0.42</v>
      </c>
    </row>
    <row r="4106" spans="2:6" x14ac:dyDescent="0.2">
      <c r="B4106" s="9" t="s">
        <v>6707</v>
      </c>
      <c r="C4106" s="15" t="s">
        <v>3516</v>
      </c>
      <c r="D4106" s="12" t="str">
        <f>"1349-9157"</f>
        <v>1349-9157</v>
      </c>
      <c r="E4106" s="5">
        <v>2.7240000000000002</v>
      </c>
      <c r="F4106" s="5">
        <v>0.60199999999999998</v>
      </c>
    </row>
    <row r="4107" spans="2:6" x14ac:dyDescent="0.2">
      <c r="B4107" s="9" t="s">
        <v>10738</v>
      </c>
      <c r="C4107" s="15" t="s">
        <v>10739</v>
      </c>
      <c r="D4107" s="12" t="str">
        <f>"1687-8507"</f>
        <v>1687-8507</v>
      </c>
      <c r="E4107" s="5">
        <v>1.77</v>
      </c>
      <c r="F4107" s="5">
        <v>0.41699999999999998</v>
      </c>
    </row>
    <row r="4108" spans="2:6" x14ac:dyDescent="0.2">
      <c r="B4108" s="9" t="s">
        <v>6708</v>
      </c>
      <c r="C4108" s="15" t="s">
        <v>3517</v>
      </c>
      <c r="D4108" s="12" t="str">
        <f>"0236-5731"</f>
        <v>0236-5731</v>
      </c>
      <c r="E4108" s="5">
        <v>1.371</v>
      </c>
      <c r="F4108" s="5">
        <v>0.35299999999999998</v>
      </c>
    </row>
    <row r="4109" spans="2:6" x14ac:dyDescent="0.2">
      <c r="B4109" s="9" t="s">
        <v>6709</v>
      </c>
      <c r="C4109" s="15" t="s">
        <v>3518</v>
      </c>
      <c r="D4109" s="12" t="str">
        <f>"1361-6498"</f>
        <v>1361-6498</v>
      </c>
      <c r="E4109" s="5">
        <v>1.3939999999999999</v>
      </c>
      <c r="F4109" s="5">
        <v>0.441</v>
      </c>
    </row>
    <row r="4110" spans="2:6" x14ac:dyDescent="0.2">
      <c r="B4110" s="9" t="s">
        <v>10740</v>
      </c>
      <c r="C4110" s="15" t="s">
        <v>10741</v>
      </c>
      <c r="D4110" s="12" t="str">
        <f>"0894-9085"</f>
        <v>0894-9085</v>
      </c>
      <c r="E4110" s="5">
        <v>1.7</v>
      </c>
      <c r="F4110" s="5">
        <v>0.26200000000000001</v>
      </c>
    </row>
    <row r="4111" spans="2:6" x14ac:dyDescent="0.2">
      <c r="B4111" s="9" t="s">
        <v>527</v>
      </c>
      <c r="C4111" s="15" t="s">
        <v>528</v>
      </c>
      <c r="D4111" s="12" t="str">
        <f>"1079-9893"</f>
        <v>1079-9893</v>
      </c>
      <c r="E4111" s="5">
        <v>2.0920000000000001</v>
      </c>
      <c r="F4111" s="5">
        <v>0.159</v>
      </c>
    </row>
    <row r="4112" spans="2:6" x14ac:dyDescent="0.2">
      <c r="B4112" s="9" t="s">
        <v>6710</v>
      </c>
      <c r="C4112" s="15" t="s">
        <v>3519</v>
      </c>
      <c r="D4112" s="12" t="str">
        <f>"0743-684X"</f>
        <v>0743-684X</v>
      </c>
      <c r="E4112" s="5">
        <v>2.8730000000000002</v>
      </c>
      <c r="F4112" s="5">
        <v>0.629</v>
      </c>
    </row>
    <row r="4113" spans="2:6" x14ac:dyDescent="0.2">
      <c r="B4113" s="9" t="s">
        <v>6711</v>
      </c>
      <c r="C4113" s="15" t="s">
        <v>3520</v>
      </c>
      <c r="D4113" s="12" t="str">
        <f>"1081-597X"</f>
        <v>1081-597X</v>
      </c>
      <c r="E4113" s="5">
        <v>3.573</v>
      </c>
      <c r="F4113" s="5">
        <v>0.77400000000000002</v>
      </c>
    </row>
    <row r="4114" spans="2:6" x14ac:dyDescent="0.2">
      <c r="B4114" s="9" t="s">
        <v>10742</v>
      </c>
      <c r="C4114" s="15" t="s">
        <v>10743</v>
      </c>
      <c r="D4114" s="12" t="str">
        <f>"0951-6328"</f>
        <v>0951-6328</v>
      </c>
      <c r="E4114" s="5">
        <v>2.6749999999999998</v>
      </c>
      <c r="F4114" s="5">
        <v>0.65</v>
      </c>
    </row>
    <row r="4115" spans="2:6" x14ac:dyDescent="0.2">
      <c r="B4115" s="9" t="s">
        <v>529</v>
      </c>
      <c r="C4115" s="15" t="s">
        <v>530</v>
      </c>
      <c r="D4115" s="12" t="str">
        <f>"0022-4154"</f>
        <v>0022-4154</v>
      </c>
      <c r="E4115" s="5">
        <v>0.79600000000000004</v>
      </c>
      <c r="F4115" s="5">
        <v>1.7000000000000001E-2</v>
      </c>
    </row>
    <row r="4116" spans="2:6" x14ac:dyDescent="0.2">
      <c r="B4116" s="9" t="s">
        <v>6712</v>
      </c>
      <c r="C4116" s="15" t="s">
        <v>3521</v>
      </c>
      <c r="D4116" s="12" t="str">
        <f>"1650-1977"</f>
        <v>1650-1977</v>
      </c>
      <c r="E4116" s="5">
        <v>2.9119999999999999</v>
      </c>
      <c r="F4116" s="5">
        <v>0.79</v>
      </c>
    </row>
    <row r="4117" spans="2:6" x14ac:dyDescent="0.2">
      <c r="B4117" s="9" t="s">
        <v>531</v>
      </c>
      <c r="C4117" s="15" t="s">
        <v>532</v>
      </c>
      <c r="D4117" s="12" t="str">
        <f>"0022-4197"</f>
        <v>0022-4197</v>
      </c>
      <c r="E4117" s="5">
        <v>1.8979999999999999</v>
      </c>
      <c r="F4117" s="5">
        <v>0.307</v>
      </c>
    </row>
    <row r="4118" spans="2:6" x14ac:dyDescent="0.2">
      <c r="B4118" s="9" t="s">
        <v>10744</v>
      </c>
      <c r="C4118" s="15" t="s">
        <v>10745</v>
      </c>
      <c r="D4118" s="12" t="str">
        <f>"1755-6678"</f>
        <v>1755-6678</v>
      </c>
      <c r="E4118" s="5">
        <v>1.294</v>
      </c>
      <c r="F4118" s="5">
        <v>0.27</v>
      </c>
    </row>
    <row r="4119" spans="2:6" x14ac:dyDescent="0.2">
      <c r="B4119" s="9" t="s">
        <v>6713</v>
      </c>
      <c r="C4119" s="15" t="s">
        <v>3522</v>
      </c>
      <c r="D4119" s="12" t="str">
        <f>"1051-2276"</f>
        <v>1051-2276</v>
      </c>
      <c r="E4119" s="5">
        <v>3.6549999999999998</v>
      </c>
      <c r="F4119" s="5">
        <v>0.67400000000000004</v>
      </c>
    </row>
    <row r="4120" spans="2:6" x14ac:dyDescent="0.2">
      <c r="B4120" s="9" t="s">
        <v>6714</v>
      </c>
      <c r="C4120" s="15" t="s">
        <v>3523</v>
      </c>
      <c r="D4120" s="12" t="str">
        <f>"1470-3203"</f>
        <v>1470-3203</v>
      </c>
      <c r="E4120" s="5">
        <v>1.6359999999999999</v>
      </c>
      <c r="F4120" s="5">
        <v>0.108</v>
      </c>
    </row>
    <row r="4121" spans="2:6" x14ac:dyDescent="0.2">
      <c r="B4121" s="9" t="s">
        <v>6715</v>
      </c>
      <c r="C4121" s="15" t="s">
        <v>3524</v>
      </c>
      <c r="D4121" s="12" t="str">
        <f>"0916-8818"</f>
        <v>0916-8818</v>
      </c>
      <c r="E4121" s="5">
        <v>2.214</v>
      </c>
      <c r="F4121" s="5">
        <v>0.66700000000000004</v>
      </c>
    </row>
    <row r="4122" spans="2:6" x14ac:dyDescent="0.2">
      <c r="B4122" s="9" t="s">
        <v>6716</v>
      </c>
      <c r="C4122" s="15" t="s">
        <v>3525</v>
      </c>
      <c r="D4122" s="12" t="str">
        <f>"1872-7603"</f>
        <v>1872-7603</v>
      </c>
      <c r="E4122" s="5">
        <v>4.0540000000000003</v>
      </c>
      <c r="F4122" s="5">
        <v>0.8</v>
      </c>
    </row>
    <row r="4123" spans="2:6" x14ac:dyDescent="0.2">
      <c r="B4123" s="9" t="s">
        <v>533</v>
      </c>
      <c r="C4123" s="15" t="s">
        <v>534</v>
      </c>
      <c r="D4123" s="12" t="str">
        <f>"0264-6838"</f>
        <v>0264-6838</v>
      </c>
      <c r="E4123" s="5">
        <v>2.4809999999999999</v>
      </c>
      <c r="F4123" s="5">
        <v>0.58299999999999996</v>
      </c>
    </row>
    <row r="4124" spans="2:6" x14ac:dyDescent="0.2">
      <c r="B4124" s="9" t="s">
        <v>6717</v>
      </c>
      <c r="C4124" s="15" t="s">
        <v>3526</v>
      </c>
      <c r="D4124" s="12" t="str">
        <f>"0024-7758"</f>
        <v>0024-7758</v>
      </c>
      <c r="E4124" s="5">
        <v>0.14199999999999999</v>
      </c>
      <c r="F4124" s="5">
        <v>1.2E-2</v>
      </c>
    </row>
    <row r="4125" spans="2:6" x14ac:dyDescent="0.2">
      <c r="B4125" s="9" t="s">
        <v>535</v>
      </c>
      <c r="C4125" s="15" t="s">
        <v>536</v>
      </c>
      <c r="D4125" s="12" t="str">
        <f>"1050-8392"</f>
        <v>1050-8392</v>
      </c>
      <c r="E4125" s="5">
        <v>3.26</v>
      </c>
      <c r="F4125" s="5">
        <v>0.80400000000000005</v>
      </c>
    </row>
    <row r="4126" spans="2:6" x14ac:dyDescent="0.2">
      <c r="B4126" s="9" t="s">
        <v>10746</v>
      </c>
      <c r="C4126" s="15" t="s">
        <v>10747</v>
      </c>
      <c r="D4126" s="12" t="str">
        <f>"1735-1995"</f>
        <v>1735-1995</v>
      </c>
      <c r="E4126" s="5">
        <v>1.8520000000000001</v>
      </c>
      <c r="F4126" s="5">
        <v>0.40100000000000002</v>
      </c>
    </row>
    <row r="4127" spans="2:6" ht="25.5" x14ac:dyDescent="0.2">
      <c r="B4127" s="9" t="s">
        <v>6718</v>
      </c>
      <c r="C4127" s="15" t="s">
        <v>3527</v>
      </c>
      <c r="D4127" s="12" t="str">
        <f>"1044-677X"</f>
        <v>1044-677X</v>
      </c>
      <c r="E4127" s="5">
        <v>1.034</v>
      </c>
      <c r="F4127" s="5">
        <v>0.14099999999999999</v>
      </c>
    </row>
    <row r="4128" spans="2:6" x14ac:dyDescent="0.2">
      <c r="B4128" s="9" t="s">
        <v>537</v>
      </c>
      <c r="C4128" s="15" t="s">
        <v>538</v>
      </c>
      <c r="D4128" s="12" t="str">
        <f>"0092-6566"</f>
        <v>0092-6566</v>
      </c>
      <c r="E4128" s="5">
        <v>3.0680000000000001</v>
      </c>
      <c r="F4128" s="5">
        <v>0.60899999999999999</v>
      </c>
    </row>
    <row r="4129" spans="2:6" x14ac:dyDescent="0.2">
      <c r="B4129" s="9" t="s">
        <v>10748</v>
      </c>
      <c r="C4129" s="15" t="s">
        <v>10749</v>
      </c>
      <c r="D4129" s="12" t="str">
        <f>"2329-9460"</f>
        <v>2329-9460</v>
      </c>
      <c r="E4129" s="5">
        <v>4.0339999999999998</v>
      </c>
      <c r="F4129" s="5">
        <v>1</v>
      </c>
    </row>
    <row r="4130" spans="2:6" x14ac:dyDescent="0.2">
      <c r="B4130" s="9" t="s">
        <v>539</v>
      </c>
      <c r="C4130" s="15" t="s">
        <v>540</v>
      </c>
      <c r="D4130" s="12" t="str">
        <f>"0141-0423"</f>
        <v>0141-0423</v>
      </c>
      <c r="E4130" s="5">
        <v>2.5419999999999998</v>
      </c>
      <c r="F4130" s="5">
        <v>0.58299999999999996</v>
      </c>
    </row>
    <row r="4131" spans="2:6" x14ac:dyDescent="0.2">
      <c r="B4131" s="9" t="s">
        <v>6719</v>
      </c>
      <c r="C4131" s="15" t="s">
        <v>3528</v>
      </c>
      <c r="D4131" s="12" t="str">
        <f>"0315-162X"</f>
        <v>0315-162X</v>
      </c>
      <c r="E4131" s="5">
        <v>4.6660000000000004</v>
      </c>
      <c r="F4131" s="5">
        <v>0.61799999999999999</v>
      </c>
    </row>
    <row r="4132" spans="2:6" x14ac:dyDescent="0.2">
      <c r="B4132" s="9" t="s">
        <v>541</v>
      </c>
      <c r="C4132" s="15" t="s">
        <v>542</v>
      </c>
      <c r="D4132" s="12" t="str">
        <f>"1366-9877"</f>
        <v>1366-9877</v>
      </c>
      <c r="E4132" s="5">
        <v>2.5830000000000002</v>
      </c>
      <c r="F4132" s="5">
        <v>0.68799999999999994</v>
      </c>
    </row>
    <row r="4133" spans="2:6" x14ac:dyDescent="0.2">
      <c r="B4133" s="9" t="s">
        <v>10750</v>
      </c>
      <c r="C4133" s="15" t="s">
        <v>10751</v>
      </c>
      <c r="D4133" s="12" t="str">
        <f>"0035-8665"</f>
        <v>0035-8665</v>
      </c>
      <c r="E4133" s="5">
        <v>1.2849999999999999</v>
      </c>
      <c r="F4133" s="5">
        <v>0.28100000000000003</v>
      </c>
    </row>
    <row r="4134" spans="2:6" x14ac:dyDescent="0.2">
      <c r="B4134" s="9" t="s">
        <v>543</v>
      </c>
      <c r="C4134" s="15" t="s">
        <v>3511</v>
      </c>
      <c r="D4134" s="12" t="str">
        <f>"0141-0768"</f>
        <v>0141-0768</v>
      </c>
      <c r="E4134" s="5">
        <v>5.3440000000000003</v>
      </c>
      <c r="F4134" s="5">
        <v>0.86199999999999999</v>
      </c>
    </row>
    <row r="4135" spans="2:6" x14ac:dyDescent="0.2">
      <c r="B4135" s="9" t="s">
        <v>544</v>
      </c>
      <c r="C4135" s="15" t="s">
        <v>3512</v>
      </c>
      <c r="D4135" s="12" t="str">
        <f>"0303-6758"</f>
        <v>0303-6758</v>
      </c>
      <c r="E4135" s="5">
        <v>2.75</v>
      </c>
      <c r="F4135" s="5">
        <v>0.56899999999999995</v>
      </c>
    </row>
    <row r="4136" spans="2:6" x14ac:dyDescent="0.2">
      <c r="B4136" s="9" t="s">
        <v>5893</v>
      </c>
      <c r="C4136" s="15" t="s">
        <v>3510</v>
      </c>
      <c r="D4136" s="12" t="str">
        <f>"1742-5689"</f>
        <v>1742-5689</v>
      </c>
      <c r="E4136" s="5">
        <v>4.1180000000000003</v>
      </c>
      <c r="F4136" s="5">
        <v>0.75</v>
      </c>
    </row>
    <row r="4137" spans="2:6" x14ac:dyDescent="0.2">
      <c r="B4137" s="9" t="s">
        <v>5894</v>
      </c>
      <c r="C4137" s="15" t="s">
        <v>3513</v>
      </c>
      <c r="D4137" s="12" t="str">
        <f>"0964-1998"</f>
        <v>0964-1998</v>
      </c>
      <c r="E4137" s="5">
        <v>2.4830000000000001</v>
      </c>
      <c r="F4137" s="5">
        <v>0.78400000000000003</v>
      </c>
    </row>
    <row r="4138" spans="2:6" ht="25.5" x14ac:dyDescent="0.2">
      <c r="B4138" s="9" t="s">
        <v>6705</v>
      </c>
      <c r="C4138" s="15" t="s">
        <v>3514</v>
      </c>
      <c r="D4138" s="12" t="str">
        <f>"1369-7412"</f>
        <v>1369-7412</v>
      </c>
      <c r="E4138" s="5">
        <v>4.4880000000000004</v>
      </c>
      <c r="F4138" s="5">
        <v>0.92800000000000005</v>
      </c>
    </row>
    <row r="4139" spans="2:6" x14ac:dyDescent="0.2">
      <c r="B4139" s="9" t="s">
        <v>6706</v>
      </c>
      <c r="C4139" s="15" t="s">
        <v>3515</v>
      </c>
      <c r="D4139" s="12" t="str">
        <f>"0035-9254"</f>
        <v>0035-9254</v>
      </c>
      <c r="E4139" s="5">
        <v>1.8640000000000001</v>
      </c>
      <c r="F4139" s="5">
        <v>0.6</v>
      </c>
    </row>
    <row r="4140" spans="2:6" x14ac:dyDescent="0.2">
      <c r="B4140" s="9" t="s">
        <v>6720</v>
      </c>
      <c r="C4140" s="15" t="s">
        <v>3529</v>
      </c>
      <c r="D4140" s="12" t="str">
        <f>"0890-765X"</f>
        <v>0890-765X</v>
      </c>
      <c r="E4140" s="5">
        <v>4.3330000000000002</v>
      </c>
      <c r="F4140" s="5">
        <v>0.90900000000000003</v>
      </c>
    </row>
    <row r="4141" spans="2:6" x14ac:dyDescent="0.2">
      <c r="B4141" s="9" t="s">
        <v>6721</v>
      </c>
      <c r="C4141" s="15" t="s">
        <v>3530</v>
      </c>
      <c r="D4141" s="12" t="str">
        <f>"1071-2836"</f>
        <v>1071-2836</v>
      </c>
      <c r="E4141" s="5">
        <v>0.60699999999999998</v>
      </c>
      <c r="F4141" s="5">
        <v>8.1000000000000003E-2</v>
      </c>
    </row>
    <row r="4142" spans="2:6" x14ac:dyDescent="0.2">
      <c r="B4142" s="9" t="s">
        <v>545</v>
      </c>
      <c r="C4142" s="15" t="s">
        <v>546</v>
      </c>
      <c r="D4142" s="12" t="str">
        <f>"0022-4375"</f>
        <v>0022-4375</v>
      </c>
      <c r="E4142" s="5">
        <v>3.4870000000000001</v>
      </c>
      <c r="F4142" s="5">
        <v>0.86199999999999999</v>
      </c>
    </row>
    <row r="4143" spans="2:6" x14ac:dyDescent="0.2">
      <c r="B4143" s="9" t="s">
        <v>10752</v>
      </c>
      <c r="C4143" s="15" t="s">
        <v>10753</v>
      </c>
      <c r="D4143" s="12" t="str">
        <f>"1019-9128"</f>
        <v>1019-9128</v>
      </c>
      <c r="E4143" s="5">
        <v>1.474</v>
      </c>
      <c r="F4143" s="5">
        <v>0.49299999999999999</v>
      </c>
    </row>
    <row r="4144" spans="2:6" x14ac:dyDescent="0.2">
      <c r="B4144" s="9" t="s">
        <v>6722</v>
      </c>
      <c r="C4144" s="15" t="s">
        <v>3531</v>
      </c>
      <c r="D4144" s="12" t="str">
        <f>"1099-6362"</f>
        <v>1099-6362</v>
      </c>
      <c r="E4144" s="5">
        <v>5.4969999999999999</v>
      </c>
      <c r="F4144" s="5">
        <v>0.96899999999999997</v>
      </c>
    </row>
    <row r="4145" spans="2:6" x14ac:dyDescent="0.2">
      <c r="B4145" s="9" t="s">
        <v>10754</v>
      </c>
      <c r="C4145" s="15" t="s">
        <v>10755</v>
      </c>
      <c r="D4145" s="12" t="str">
        <f>"1319-6103"</f>
        <v>1319-6103</v>
      </c>
      <c r="E4145" s="5">
        <v>3.9319999999999999</v>
      </c>
      <c r="F4145" s="5">
        <v>0.61799999999999999</v>
      </c>
    </row>
    <row r="4146" spans="2:6" x14ac:dyDescent="0.2">
      <c r="B4146" s="9" t="s">
        <v>10756</v>
      </c>
      <c r="C4146" s="15" t="s">
        <v>10757</v>
      </c>
      <c r="D4146" s="12" t="str">
        <f>"1059-8405"</f>
        <v>1059-8405</v>
      </c>
      <c r="E4146" s="5">
        <v>2.835</v>
      </c>
      <c r="F4146" s="5">
        <v>0.85699999999999998</v>
      </c>
    </row>
    <row r="4147" spans="2:6" x14ac:dyDescent="0.2">
      <c r="B4147" s="9" t="s">
        <v>547</v>
      </c>
      <c r="C4147" s="15" t="s">
        <v>548</v>
      </c>
      <c r="D4147" s="12" t="str">
        <f>"1198-9742"</f>
        <v>1198-9742</v>
      </c>
      <c r="E4147" s="5">
        <v>1.512</v>
      </c>
      <c r="F4147" s="5">
        <v>0.36499999999999999</v>
      </c>
    </row>
    <row r="4148" spans="2:6" x14ac:dyDescent="0.2">
      <c r="B4148" s="9" t="s">
        <v>6723</v>
      </c>
      <c r="C4148" s="15" t="s">
        <v>3532</v>
      </c>
      <c r="D4148" s="12" t="str">
        <f>"0022-4391"</f>
        <v>0022-4391</v>
      </c>
      <c r="E4148" s="5">
        <v>2.1179999999999999</v>
      </c>
      <c r="F4148" s="5">
        <v>0.436</v>
      </c>
    </row>
    <row r="4149" spans="2:6" x14ac:dyDescent="0.2">
      <c r="B4149" s="9" t="s">
        <v>549</v>
      </c>
      <c r="C4149" s="15" t="s">
        <v>550</v>
      </c>
      <c r="D4149" s="12" t="str">
        <f>"0022-4405"</f>
        <v>0022-4405</v>
      </c>
      <c r="E4149" s="5">
        <v>4.2919999999999998</v>
      </c>
      <c r="F4149" s="5">
        <v>0.83299999999999996</v>
      </c>
    </row>
    <row r="4150" spans="2:6" x14ac:dyDescent="0.2">
      <c r="B4150" s="9" t="s">
        <v>10758</v>
      </c>
      <c r="C4150" s="15" t="s">
        <v>10759</v>
      </c>
      <c r="D4150" s="12" t="str">
        <f>"1538-8220"</f>
        <v>1538-8220</v>
      </c>
      <c r="E4150" s="5">
        <v>2.4</v>
      </c>
      <c r="F4150" s="5">
        <v>0.55100000000000005</v>
      </c>
    </row>
    <row r="4151" spans="2:6" x14ac:dyDescent="0.2">
      <c r="B4151" s="9" t="s">
        <v>10760</v>
      </c>
      <c r="C4151" s="15" t="s">
        <v>10761</v>
      </c>
      <c r="D4151" s="12" t="str">
        <f>"1059-0145"</f>
        <v>1059-0145</v>
      </c>
      <c r="E4151" s="5">
        <v>2.3149999999999999</v>
      </c>
      <c r="F4151" s="5">
        <v>0.51900000000000002</v>
      </c>
    </row>
    <row r="4152" spans="2:6" x14ac:dyDescent="0.2">
      <c r="B4152" s="9" t="s">
        <v>6724</v>
      </c>
      <c r="C4152" s="15" t="s">
        <v>3533</v>
      </c>
      <c r="D4152" s="12" t="str">
        <f>"0022-4456"</f>
        <v>0022-4456</v>
      </c>
      <c r="E4152" s="5">
        <v>1.056</v>
      </c>
      <c r="F4152" s="5">
        <v>0.2</v>
      </c>
    </row>
    <row r="4153" spans="2:6" x14ac:dyDescent="0.2">
      <c r="B4153" s="9" t="s">
        <v>6725</v>
      </c>
      <c r="C4153" s="15" t="s">
        <v>3534</v>
      </c>
      <c r="D4153" s="12" t="str">
        <f>"1440-2440"</f>
        <v>1440-2440</v>
      </c>
      <c r="E4153" s="5">
        <v>4.319</v>
      </c>
      <c r="F4153" s="5">
        <v>0.81799999999999995</v>
      </c>
    </row>
    <row r="4154" spans="2:6" x14ac:dyDescent="0.2">
      <c r="B4154" s="9" t="s">
        <v>6726</v>
      </c>
      <c r="C4154" s="15" t="s">
        <v>3535</v>
      </c>
      <c r="D4154" s="12" t="str">
        <f>"1615-9306"</f>
        <v>1615-9306</v>
      </c>
      <c r="E4154" s="5">
        <v>3.645</v>
      </c>
      <c r="F4154" s="5">
        <v>0.71099999999999997</v>
      </c>
    </row>
    <row r="4155" spans="2:6" x14ac:dyDescent="0.2">
      <c r="B4155" s="9" t="s">
        <v>6727</v>
      </c>
      <c r="C4155" s="15" t="s">
        <v>3536</v>
      </c>
      <c r="D4155" s="12" t="str">
        <f>"0352-5139"</f>
        <v>0352-5139</v>
      </c>
      <c r="E4155" s="5">
        <v>1.24</v>
      </c>
      <c r="F4155" s="5">
        <v>0.21299999999999999</v>
      </c>
    </row>
    <row r="4156" spans="2:6" x14ac:dyDescent="0.2">
      <c r="B4156" s="9" t="s">
        <v>551</v>
      </c>
      <c r="C4156" s="15" t="s">
        <v>552</v>
      </c>
      <c r="D4156" s="12" t="str">
        <f>"0092-623X"</f>
        <v>0092-623X</v>
      </c>
      <c r="E4156" s="5">
        <v>2.78</v>
      </c>
      <c r="F4156" s="5">
        <v>0.69599999999999995</v>
      </c>
    </row>
    <row r="4157" spans="2:6" x14ac:dyDescent="0.2">
      <c r="B4157" s="9" t="s">
        <v>6728</v>
      </c>
      <c r="C4157" s="15" t="s">
        <v>3537</v>
      </c>
      <c r="D4157" s="12" t="str">
        <f>"1743-6095"</f>
        <v>1743-6095</v>
      </c>
      <c r="E4157" s="5">
        <v>3.802</v>
      </c>
      <c r="F4157" s="5">
        <v>0.73</v>
      </c>
    </row>
    <row r="4158" spans="2:6" x14ac:dyDescent="0.2">
      <c r="B4158" s="9" t="s">
        <v>553</v>
      </c>
      <c r="C4158" s="15" t="s">
        <v>554</v>
      </c>
      <c r="D4158" s="12" t="str">
        <f>"0022-4499"</f>
        <v>0022-4499</v>
      </c>
      <c r="E4158" s="5">
        <v>5.141</v>
      </c>
      <c r="F4158" s="5">
        <v>0.96299999999999997</v>
      </c>
    </row>
    <row r="4159" spans="2:6" x14ac:dyDescent="0.2">
      <c r="B4159" s="9" t="s">
        <v>6729</v>
      </c>
      <c r="C4159" s="15" t="s">
        <v>3538</v>
      </c>
      <c r="D4159" s="12" t="str">
        <f>"1058-2746"</f>
        <v>1058-2746</v>
      </c>
      <c r="E4159" s="5">
        <v>3.0190000000000001</v>
      </c>
      <c r="F4159" s="5">
        <v>0.66700000000000004</v>
      </c>
    </row>
    <row r="4160" spans="2:6" x14ac:dyDescent="0.2">
      <c r="B4160" s="9" t="s">
        <v>10762</v>
      </c>
      <c r="C4160" s="15" t="s">
        <v>10763</v>
      </c>
      <c r="D4160" s="12" t="str">
        <f>"1747-7778"</f>
        <v>1747-7778</v>
      </c>
      <c r="E4160" s="5">
        <v>2.2050000000000001</v>
      </c>
      <c r="F4160" s="5">
        <v>0.41699999999999998</v>
      </c>
    </row>
    <row r="4161" spans="2:6" x14ac:dyDescent="0.2">
      <c r="B4161" s="9" t="s">
        <v>6730</v>
      </c>
      <c r="C4161" s="15" t="s">
        <v>3539</v>
      </c>
      <c r="D4161" s="12" t="str">
        <f>"0962-1105"</f>
        <v>0962-1105</v>
      </c>
      <c r="E4161" s="5">
        <v>3.9809999999999999</v>
      </c>
      <c r="F4161" s="5">
        <v>0.65400000000000003</v>
      </c>
    </row>
    <row r="4162" spans="2:6" x14ac:dyDescent="0.2">
      <c r="B4162" s="9" t="s">
        <v>10764</v>
      </c>
      <c r="C4162" s="15" t="s">
        <v>10765</v>
      </c>
      <c r="D4162" s="12" t="str">
        <f>"1086-8089"</f>
        <v>1086-8089</v>
      </c>
      <c r="E4162" s="5">
        <v>2.1720000000000002</v>
      </c>
      <c r="F4162" s="5">
        <v>0.41899999999999998</v>
      </c>
    </row>
    <row r="4163" spans="2:6" x14ac:dyDescent="0.2">
      <c r="B4163" s="9" t="s">
        <v>6731</v>
      </c>
      <c r="C4163" s="15" t="s">
        <v>3540</v>
      </c>
      <c r="D4163" s="12" t="str">
        <f>"1748-5827"</f>
        <v>1748-5827</v>
      </c>
      <c r="E4163" s="5">
        <v>1.522</v>
      </c>
      <c r="F4163" s="5">
        <v>0.50700000000000001</v>
      </c>
    </row>
    <row r="4164" spans="2:6" x14ac:dyDescent="0.2">
      <c r="B4164" s="9" t="s">
        <v>555</v>
      </c>
      <c r="C4164" s="15" t="s">
        <v>556</v>
      </c>
      <c r="D4164" s="12" t="str">
        <f>"0736-7236"</f>
        <v>0736-7236</v>
      </c>
      <c r="E4164" s="5">
        <v>1.946</v>
      </c>
      <c r="F4164" s="5">
        <v>0.29699999999999999</v>
      </c>
    </row>
    <row r="4165" spans="2:6" x14ac:dyDescent="0.2">
      <c r="B4165" s="9" t="s">
        <v>557</v>
      </c>
      <c r="C4165" s="15" t="s">
        <v>558</v>
      </c>
      <c r="D4165" s="12" t="str">
        <f>"1071-0922"</f>
        <v>1071-0922</v>
      </c>
      <c r="E4165" s="5">
        <v>2.14</v>
      </c>
      <c r="F4165" s="5">
        <v>0.47499999999999998</v>
      </c>
    </row>
    <row r="4166" spans="2:6" x14ac:dyDescent="0.2">
      <c r="B4166" s="9" t="s">
        <v>10766</v>
      </c>
      <c r="C4166" s="15" t="s">
        <v>10767</v>
      </c>
      <c r="D4166" s="12" t="str">
        <f>"0022-4537"</f>
        <v>0022-4537</v>
      </c>
      <c r="E4166" s="5">
        <v>3.4239999999999999</v>
      </c>
      <c r="F4166" s="5">
        <v>0.79500000000000004</v>
      </c>
    </row>
    <row r="4167" spans="2:6" x14ac:dyDescent="0.2">
      <c r="B4167" s="9" t="s">
        <v>559</v>
      </c>
      <c r="C4167" s="15" t="s">
        <v>560</v>
      </c>
      <c r="D4167" s="12" t="str">
        <f>"0265-4075"</f>
        <v>0265-4075</v>
      </c>
      <c r="E4167" s="5">
        <v>3.0390000000000001</v>
      </c>
      <c r="F4167" s="5">
        <v>0.73899999999999999</v>
      </c>
    </row>
    <row r="4168" spans="2:6" x14ac:dyDescent="0.2">
      <c r="B4168" s="9" t="s">
        <v>561</v>
      </c>
      <c r="C4168" s="15" t="s">
        <v>562</v>
      </c>
      <c r="D4168" s="12" t="str">
        <f>"0022-4545"</f>
        <v>0022-4545</v>
      </c>
      <c r="E4168" s="5">
        <v>2.7120000000000002</v>
      </c>
      <c r="F4168" s="5">
        <v>0.53100000000000003</v>
      </c>
    </row>
    <row r="4169" spans="2:6" x14ac:dyDescent="0.2">
      <c r="B4169" s="9" t="s">
        <v>6732</v>
      </c>
      <c r="C4169" s="15" t="s">
        <v>3541</v>
      </c>
      <c r="D4169" s="12" t="str">
        <f>"0199-6231"</f>
        <v>0199-6231</v>
      </c>
      <c r="E4169" s="5">
        <v>2.3839999999999999</v>
      </c>
      <c r="F4169" s="5">
        <v>0.54900000000000004</v>
      </c>
    </row>
    <row r="4170" spans="2:6" x14ac:dyDescent="0.2">
      <c r="B4170" s="9" t="s">
        <v>6733</v>
      </c>
      <c r="C4170" s="15" t="s">
        <v>3542</v>
      </c>
      <c r="D4170" s="12" t="str">
        <f>"0022-460X"</f>
        <v>0022-460X</v>
      </c>
      <c r="E4170" s="5">
        <v>3.6549999999999998</v>
      </c>
      <c r="F4170" s="5">
        <v>0.871</v>
      </c>
    </row>
    <row r="4171" spans="2:6" x14ac:dyDescent="0.2">
      <c r="B4171" s="9" t="s">
        <v>10768</v>
      </c>
      <c r="C4171" s="15" t="s">
        <v>10769</v>
      </c>
      <c r="D4171" s="12" t="str">
        <f>"0162-6434"</f>
        <v>0162-6434</v>
      </c>
      <c r="E4171" s="5">
        <v>1.8859999999999999</v>
      </c>
      <c r="F4171" s="5">
        <v>0.38600000000000001</v>
      </c>
    </row>
    <row r="4172" spans="2:6" x14ac:dyDescent="0.2">
      <c r="B4172" s="9" t="s">
        <v>563</v>
      </c>
      <c r="C4172" s="15" t="s">
        <v>564</v>
      </c>
      <c r="D4172" s="12" t="str">
        <f>"1539-0136"</f>
        <v>1539-0136</v>
      </c>
      <c r="E4172" s="5">
        <v>1.26</v>
      </c>
      <c r="F4172" s="5">
        <v>0.246</v>
      </c>
    </row>
    <row r="4173" spans="2:6" x14ac:dyDescent="0.2">
      <c r="B4173" s="9" t="s">
        <v>10770</v>
      </c>
      <c r="C4173" s="15" t="s">
        <v>10771</v>
      </c>
      <c r="D4173" s="12" t="str">
        <f>"2314-4939"</f>
        <v>2314-4939</v>
      </c>
      <c r="E4173" s="5">
        <v>1.9139999999999999</v>
      </c>
      <c r="F4173" s="5">
        <v>0.39500000000000002</v>
      </c>
    </row>
    <row r="4174" spans="2:6" x14ac:dyDescent="0.2">
      <c r="B4174" s="9" t="s">
        <v>565</v>
      </c>
      <c r="C4174" s="15" t="s">
        <v>566</v>
      </c>
      <c r="D4174" s="12" t="str">
        <f>"1092-4388"</f>
        <v>1092-4388</v>
      </c>
      <c r="E4174" s="5">
        <v>2.2970000000000002</v>
      </c>
      <c r="F4174" s="5">
        <v>0.81299999999999994</v>
      </c>
    </row>
    <row r="4175" spans="2:6" x14ac:dyDescent="0.2">
      <c r="B4175" s="9" t="s">
        <v>6734</v>
      </c>
      <c r="C4175" s="15" t="s">
        <v>3543</v>
      </c>
      <c r="D4175" s="12" t="str">
        <f>"1079-0268"</f>
        <v>1079-0268</v>
      </c>
      <c r="E4175" s="5">
        <v>1.9850000000000001</v>
      </c>
      <c r="F4175" s="5">
        <v>0.20699999999999999</v>
      </c>
    </row>
    <row r="4176" spans="2:6" x14ac:dyDescent="0.2">
      <c r="B4176" s="9" t="s">
        <v>6735</v>
      </c>
      <c r="C4176" s="15" t="s">
        <v>3544</v>
      </c>
      <c r="D4176" s="12" t="str">
        <f>"0895-2779"</f>
        <v>0895-2779</v>
      </c>
      <c r="E4176" s="5">
        <v>3.016</v>
      </c>
      <c r="F4176" s="5">
        <v>0.61399999999999999</v>
      </c>
    </row>
    <row r="4177" spans="2:6" x14ac:dyDescent="0.2">
      <c r="B4177" s="9" t="s">
        <v>10772</v>
      </c>
      <c r="C4177" s="15" t="s">
        <v>10773</v>
      </c>
      <c r="D4177" s="12" t="str">
        <f>"2095-2546"</f>
        <v>2095-2546</v>
      </c>
      <c r="E4177" s="5">
        <v>7.1790000000000003</v>
      </c>
      <c r="F4177" s="5">
        <v>0.97699999999999998</v>
      </c>
    </row>
    <row r="4178" spans="2:6" x14ac:dyDescent="0.2">
      <c r="B4178" s="9" t="s">
        <v>6736</v>
      </c>
      <c r="C4178" s="15" t="s">
        <v>3545</v>
      </c>
      <c r="D4178" s="12" t="str">
        <f>"0888-4773"</f>
        <v>0888-4773</v>
      </c>
      <c r="E4178" s="5">
        <v>3.6909999999999998</v>
      </c>
      <c r="F4178" s="5">
        <v>0.71599999999999997</v>
      </c>
    </row>
    <row r="4179" spans="2:6" x14ac:dyDescent="0.2">
      <c r="B4179" s="9" t="s">
        <v>6737</v>
      </c>
      <c r="C4179" s="15" t="s">
        <v>3546</v>
      </c>
      <c r="D4179" s="12" t="str">
        <f>"0022-4707"</f>
        <v>0022-4707</v>
      </c>
      <c r="E4179" s="5">
        <v>1.637</v>
      </c>
      <c r="F4179" s="5">
        <v>0.20499999999999999</v>
      </c>
    </row>
    <row r="4180" spans="2:6" x14ac:dyDescent="0.2">
      <c r="B4180" s="9" t="s">
        <v>6738</v>
      </c>
      <c r="C4180" s="15" t="s">
        <v>3547</v>
      </c>
      <c r="D4180" s="12" t="str">
        <f>"1056-6716"</f>
        <v>1056-6716</v>
      </c>
      <c r="E4180" s="5">
        <v>1.931</v>
      </c>
      <c r="F4180" s="5">
        <v>0.40300000000000002</v>
      </c>
    </row>
    <row r="4181" spans="2:6" x14ac:dyDescent="0.2">
      <c r="B4181" s="9" t="s">
        <v>6739</v>
      </c>
      <c r="C4181" s="15" t="s">
        <v>3548</v>
      </c>
      <c r="D4181" s="12" t="str">
        <f>"0264-0414"</f>
        <v>0264-0414</v>
      </c>
      <c r="E4181" s="5">
        <v>3.3370000000000002</v>
      </c>
      <c r="F4181" s="5">
        <v>0.67</v>
      </c>
    </row>
    <row r="4182" spans="2:6" x14ac:dyDescent="0.2">
      <c r="B4182" s="9" t="s">
        <v>6740</v>
      </c>
      <c r="C4182" s="15" t="s">
        <v>3549</v>
      </c>
      <c r="D4182" s="12" t="str">
        <f>"1303-2968"</f>
        <v>1303-2968</v>
      </c>
      <c r="E4182" s="5">
        <v>2.988</v>
      </c>
      <c r="F4182" s="5">
        <v>0.60199999999999998</v>
      </c>
    </row>
    <row r="4183" spans="2:6" x14ac:dyDescent="0.2">
      <c r="B4183" s="9" t="s">
        <v>6741</v>
      </c>
      <c r="C4183" s="15" t="s">
        <v>3550</v>
      </c>
      <c r="D4183" s="12" t="str">
        <f>"0094-9655"</f>
        <v>0094-9655</v>
      </c>
      <c r="E4183" s="5">
        <v>1.4239999999999999</v>
      </c>
      <c r="F4183" s="5">
        <v>0.47199999999999998</v>
      </c>
    </row>
    <row r="4184" spans="2:6" x14ac:dyDescent="0.2">
      <c r="B4184" s="9" t="s">
        <v>6742</v>
      </c>
      <c r="C4184" s="15" t="s">
        <v>3551</v>
      </c>
      <c r="D4184" s="12" t="str">
        <f>"0378-3758"</f>
        <v>0378-3758</v>
      </c>
      <c r="E4184" s="5">
        <v>1.111</v>
      </c>
      <c r="F4184" s="5">
        <v>0.30399999999999999</v>
      </c>
    </row>
    <row r="4185" spans="2:6" x14ac:dyDescent="0.2">
      <c r="B4185" s="9" t="s">
        <v>567</v>
      </c>
      <c r="C4185" s="15" t="s">
        <v>568</v>
      </c>
      <c r="D4185" s="12" t="str">
        <f>"1548-7660"</f>
        <v>1548-7660</v>
      </c>
      <c r="E4185" s="5">
        <v>6.44</v>
      </c>
      <c r="F4185" s="5">
        <v>0.98399999999999999</v>
      </c>
    </row>
    <row r="4186" spans="2:6" x14ac:dyDescent="0.2">
      <c r="B4186" s="9" t="s">
        <v>6743</v>
      </c>
      <c r="C4186" s="15" t="s">
        <v>3552</v>
      </c>
      <c r="D4186" s="12" t="str">
        <f>"0960-0760"</f>
        <v>0960-0760</v>
      </c>
      <c r="E4186" s="5">
        <v>4.2919999999999998</v>
      </c>
      <c r="F4186" s="5">
        <v>0.6</v>
      </c>
    </row>
    <row r="4187" spans="2:6" x14ac:dyDescent="0.2">
      <c r="B4187" s="9" t="s">
        <v>10774</v>
      </c>
      <c r="C4187" s="15" t="s">
        <v>10775</v>
      </c>
      <c r="D4187" s="12" t="str">
        <f>"2468-8509"</f>
        <v>2468-8509</v>
      </c>
      <c r="E4187" s="5">
        <v>1.569</v>
      </c>
      <c r="F4187" s="5">
        <v>0.13200000000000001</v>
      </c>
    </row>
    <row r="4188" spans="2:6" x14ac:dyDescent="0.2">
      <c r="B4188" s="9" t="s">
        <v>6744</v>
      </c>
      <c r="C4188" s="15" t="s">
        <v>3553</v>
      </c>
      <c r="D4188" s="12" t="str">
        <f>"0309-3247"</f>
        <v>0309-3247</v>
      </c>
      <c r="E4188" s="5">
        <v>1.5409999999999999</v>
      </c>
      <c r="F4188" s="5">
        <v>0.375</v>
      </c>
    </row>
    <row r="4189" spans="2:6" x14ac:dyDescent="0.2">
      <c r="B4189" s="9" t="s">
        <v>10776</v>
      </c>
      <c r="C4189" s="15" t="s">
        <v>10777</v>
      </c>
      <c r="D4189" s="12" t="str">
        <f>"0963-8687"</f>
        <v>0963-8687</v>
      </c>
      <c r="E4189" s="5">
        <v>11.022</v>
      </c>
      <c r="F4189" s="5">
        <v>0.98799999999999999</v>
      </c>
    </row>
    <row r="4190" spans="2:6" x14ac:dyDescent="0.2">
      <c r="B4190" s="9" t="s">
        <v>6745</v>
      </c>
      <c r="C4190" s="15" t="s">
        <v>3554</v>
      </c>
      <c r="D4190" s="12" t="str">
        <f>"1064-8011"</f>
        <v>1064-8011</v>
      </c>
      <c r="E4190" s="5">
        <v>3.7749999999999999</v>
      </c>
      <c r="F4190" s="5">
        <v>0.72699999999999998</v>
      </c>
    </row>
    <row r="4191" spans="2:6" x14ac:dyDescent="0.2">
      <c r="B4191" s="9" t="s">
        <v>10778</v>
      </c>
      <c r="C4191" s="15" t="s">
        <v>10779</v>
      </c>
      <c r="D4191" s="12" t="str">
        <f>"2287-6405"</f>
        <v>2287-6405</v>
      </c>
      <c r="E4191" s="5">
        <v>6.9669999999999996</v>
      </c>
      <c r="F4191" s="5">
        <v>0.89900000000000002</v>
      </c>
    </row>
    <row r="4192" spans="2:6" x14ac:dyDescent="0.2">
      <c r="B4192" s="9" t="s">
        <v>10780</v>
      </c>
      <c r="C4192" s="15" t="s">
        <v>10781</v>
      </c>
      <c r="D4192" s="12" t="str">
        <f>"1052-3057"</f>
        <v>1052-3057</v>
      </c>
      <c r="E4192" s="5">
        <v>2.1360000000000001</v>
      </c>
      <c r="F4192" s="5">
        <v>0.246</v>
      </c>
    </row>
    <row r="4193" spans="2:6" x14ac:dyDescent="0.2">
      <c r="B4193" s="9" t="s">
        <v>6746</v>
      </c>
      <c r="C4193" s="15" t="s">
        <v>3555</v>
      </c>
      <c r="D4193" s="12" t="str">
        <f>"1047-8477"</f>
        <v>1047-8477</v>
      </c>
      <c r="E4193" s="5">
        <v>2.867</v>
      </c>
      <c r="F4193" s="5">
        <v>0.46500000000000002</v>
      </c>
    </row>
    <row r="4194" spans="2:6" x14ac:dyDescent="0.2">
      <c r="B4194" s="9" t="s">
        <v>569</v>
      </c>
      <c r="C4194" s="15" t="s">
        <v>570</v>
      </c>
      <c r="D4194" s="12" t="str">
        <f>"1937-1888"</f>
        <v>1937-1888</v>
      </c>
      <c r="E4194" s="5">
        <v>2.5819999999999999</v>
      </c>
      <c r="F4194" s="5">
        <v>0.49399999999999999</v>
      </c>
    </row>
    <row r="4195" spans="2:6" x14ac:dyDescent="0.2">
      <c r="B4195" s="9" t="s">
        <v>571</v>
      </c>
      <c r="C4195" s="15" t="s">
        <v>572</v>
      </c>
      <c r="D4195" s="12" t="str">
        <f>"0740-5472"</f>
        <v>0740-5472</v>
      </c>
      <c r="E4195" s="5">
        <v>3.77</v>
      </c>
      <c r="F4195" s="5">
        <v>0.73199999999999998</v>
      </c>
    </row>
    <row r="4196" spans="2:6" x14ac:dyDescent="0.2">
      <c r="B4196" s="9" t="s">
        <v>10782</v>
      </c>
      <c r="C4196" s="15" t="s">
        <v>10783</v>
      </c>
      <c r="D4196" s="12" t="str">
        <f>"1465-9891"</f>
        <v>1465-9891</v>
      </c>
      <c r="E4196" s="5">
        <v>1</v>
      </c>
      <c r="F4196" s="5">
        <v>7.2999999999999995E-2</v>
      </c>
    </row>
    <row r="4197" spans="2:6" x14ac:dyDescent="0.2">
      <c r="B4197" s="9" t="s">
        <v>10784</v>
      </c>
      <c r="C4197" s="15" t="s">
        <v>10785</v>
      </c>
      <c r="D4197" s="12" t="str">
        <f>"1741-5993"</f>
        <v>1741-5993</v>
      </c>
      <c r="E4197" s="5">
        <v>2.68</v>
      </c>
      <c r="F4197" s="5">
        <v>0.44400000000000001</v>
      </c>
    </row>
    <row r="4198" spans="2:6" x14ac:dyDescent="0.2">
      <c r="B4198" s="9" t="s">
        <v>10786</v>
      </c>
      <c r="C4198" s="15" t="s">
        <v>10787</v>
      </c>
      <c r="D4198" s="12" t="str">
        <f>"1931-7204"</f>
        <v>1931-7204</v>
      </c>
      <c r="E4198" s="5">
        <v>2.891</v>
      </c>
      <c r="F4198" s="5">
        <v>0.63300000000000001</v>
      </c>
    </row>
    <row r="4199" spans="2:6" x14ac:dyDescent="0.2">
      <c r="B4199" s="9" t="s">
        <v>6747</v>
      </c>
      <c r="C4199" s="15" t="s">
        <v>3556</v>
      </c>
      <c r="D4199" s="12" t="str">
        <f>"0022-4790"</f>
        <v>0022-4790</v>
      </c>
      <c r="E4199" s="5">
        <v>3.4540000000000002</v>
      </c>
      <c r="F4199" s="5">
        <v>0.72399999999999998</v>
      </c>
    </row>
    <row r="4200" spans="2:6" x14ac:dyDescent="0.2">
      <c r="B4200" s="9" t="s">
        <v>6748</v>
      </c>
      <c r="C4200" s="15" t="s">
        <v>3557</v>
      </c>
      <c r="D4200" s="12" t="str">
        <f>"0022-4804"</f>
        <v>0022-4804</v>
      </c>
      <c r="E4200" s="5">
        <v>2.1920000000000002</v>
      </c>
      <c r="F4200" s="5">
        <v>0.42899999999999999</v>
      </c>
    </row>
    <row r="4201" spans="2:6" x14ac:dyDescent="0.2">
      <c r="B4201" s="9" t="s">
        <v>10788</v>
      </c>
      <c r="C4201" s="15" t="s">
        <v>10789</v>
      </c>
      <c r="D4201" s="12" t="str">
        <f>"2325-0984"</f>
        <v>2325-0984</v>
      </c>
      <c r="E4201" s="5">
        <v>1.9570000000000001</v>
      </c>
      <c r="F4201" s="5">
        <v>0.64</v>
      </c>
    </row>
    <row r="4202" spans="2:6" x14ac:dyDescent="0.2">
      <c r="B4202" s="9" t="s">
        <v>7643</v>
      </c>
      <c r="C4202" s="15" t="s">
        <v>3558</v>
      </c>
      <c r="D4202" s="12" t="str">
        <f>"1537-209X"</f>
        <v>1537-209X</v>
      </c>
      <c r="E4202" s="5">
        <v>1.528</v>
      </c>
      <c r="F4202" s="5">
        <v>0.51400000000000001</v>
      </c>
    </row>
    <row r="4203" spans="2:6" x14ac:dyDescent="0.2">
      <c r="B4203" s="9" t="s">
        <v>7645</v>
      </c>
      <c r="C4203" s="15" t="s">
        <v>3560</v>
      </c>
      <c r="D4203" s="12" t="str">
        <f>"1600-5775"</f>
        <v>1600-5775</v>
      </c>
      <c r="E4203" s="5">
        <v>2.6160000000000001</v>
      </c>
      <c r="F4203" s="5">
        <v>0.625</v>
      </c>
    </row>
    <row r="4204" spans="2:6" x14ac:dyDescent="0.2">
      <c r="B4204" s="9" t="s">
        <v>7644</v>
      </c>
      <c r="C4204" s="15" t="s">
        <v>3559</v>
      </c>
      <c r="D4204" s="12" t="str">
        <f>"0037-9980"</f>
        <v>0037-9980</v>
      </c>
      <c r="E4204" s="5">
        <v>0.33800000000000002</v>
      </c>
      <c r="F4204" s="5">
        <v>1.7999999999999999E-2</v>
      </c>
    </row>
    <row r="4205" spans="2:6" x14ac:dyDescent="0.2">
      <c r="B4205" s="9" t="s">
        <v>10790</v>
      </c>
      <c r="C4205" s="15" t="s">
        <v>10791</v>
      </c>
      <c r="D4205" s="12" t="str">
        <f>"1658-3655"</f>
        <v>1658-3655</v>
      </c>
      <c r="E4205" s="5">
        <v>2.6880000000000002</v>
      </c>
      <c r="F4205" s="5">
        <v>0.52800000000000002</v>
      </c>
    </row>
    <row r="4206" spans="2:6" x14ac:dyDescent="0.2">
      <c r="B4206" s="9" t="s">
        <v>7646</v>
      </c>
      <c r="C4206" s="15" t="s">
        <v>3561</v>
      </c>
      <c r="D4206" s="12" t="str">
        <f>"0273-5024"</f>
        <v>0273-5024</v>
      </c>
      <c r="E4206" s="5">
        <v>4.1550000000000002</v>
      </c>
      <c r="F4206" s="5">
        <v>0.85599999999999998</v>
      </c>
    </row>
    <row r="4207" spans="2:6" x14ac:dyDescent="0.2">
      <c r="B4207" s="9" t="s">
        <v>7647</v>
      </c>
      <c r="C4207" s="15" t="s">
        <v>3562</v>
      </c>
      <c r="D4207" s="12" t="str">
        <f>"1357-633X"</f>
        <v>1357-633X</v>
      </c>
      <c r="E4207" s="5">
        <v>6.1840000000000002</v>
      </c>
      <c r="F4207" s="5">
        <v>0.93500000000000005</v>
      </c>
    </row>
    <row r="4208" spans="2:6" x14ac:dyDescent="0.2">
      <c r="B4208" s="9" t="s">
        <v>7648</v>
      </c>
      <c r="C4208" s="15" t="s">
        <v>3563</v>
      </c>
      <c r="D4208" s="12" t="str">
        <f>"0022-5193"</f>
        <v>0022-5193</v>
      </c>
      <c r="E4208" s="5">
        <v>2.6909999999999998</v>
      </c>
      <c r="F4208" s="5">
        <v>0.67200000000000004</v>
      </c>
    </row>
    <row r="4209" spans="2:6" x14ac:dyDescent="0.2">
      <c r="B4209" s="9" t="s">
        <v>10792</v>
      </c>
      <c r="C4209" s="15" t="s">
        <v>10793</v>
      </c>
      <c r="D4209" s="12" t="str">
        <f>"2591-7285"</f>
        <v>2591-7285</v>
      </c>
      <c r="E4209" s="5">
        <v>1.171</v>
      </c>
      <c r="F4209" s="5">
        <v>0.28999999999999998</v>
      </c>
    </row>
    <row r="4210" spans="2:6" x14ac:dyDescent="0.2">
      <c r="B4210" s="9" t="s">
        <v>7649</v>
      </c>
      <c r="C4210" s="15" t="s">
        <v>3564</v>
      </c>
      <c r="D4210" s="12" t="str">
        <f>"0219-6336"</f>
        <v>0219-6336</v>
      </c>
      <c r="E4210" s="5">
        <v>0.93899999999999995</v>
      </c>
      <c r="F4210" s="5">
        <v>0.14599999999999999</v>
      </c>
    </row>
    <row r="4211" spans="2:6" x14ac:dyDescent="0.2">
      <c r="B4211" s="9" t="s">
        <v>7650</v>
      </c>
      <c r="C4211" s="15" t="s">
        <v>3565</v>
      </c>
      <c r="D4211" s="12" t="str">
        <f>"0894-9840"</f>
        <v>0894-9840</v>
      </c>
      <c r="E4211" s="5">
        <v>0.88800000000000001</v>
      </c>
      <c r="F4211" s="5">
        <v>0.152</v>
      </c>
    </row>
    <row r="4212" spans="2:6" x14ac:dyDescent="0.2">
      <c r="B4212" s="9" t="s">
        <v>573</v>
      </c>
      <c r="C4212" s="15" t="s">
        <v>574</v>
      </c>
      <c r="D4212" s="12" t="str">
        <f>"0021-8308"</f>
        <v>0021-8308</v>
      </c>
      <c r="E4212" s="5">
        <v>1.84</v>
      </c>
      <c r="F4212" s="5">
        <v>0.26600000000000001</v>
      </c>
    </row>
    <row r="4213" spans="2:6" x14ac:dyDescent="0.2">
      <c r="B4213" s="9" t="s">
        <v>7651</v>
      </c>
      <c r="C4213" s="15" t="s">
        <v>3566</v>
      </c>
      <c r="D4213" s="12" t="str">
        <f>"1388-6150"</f>
        <v>1388-6150</v>
      </c>
      <c r="E4213" s="5">
        <v>4.6260000000000003</v>
      </c>
      <c r="F4213" s="5">
        <v>0.88300000000000001</v>
      </c>
    </row>
    <row r="4214" spans="2:6" x14ac:dyDescent="0.2">
      <c r="B4214" s="9" t="s">
        <v>7652</v>
      </c>
      <c r="C4214" s="15" t="s">
        <v>3567</v>
      </c>
      <c r="D4214" s="12" t="str">
        <f>"0306-4565"</f>
        <v>0306-4565</v>
      </c>
      <c r="E4214" s="5">
        <v>2.9020000000000001</v>
      </c>
      <c r="F4214" s="5">
        <v>0.91400000000000003</v>
      </c>
    </row>
    <row r="4215" spans="2:6" x14ac:dyDescent="0.2">
      <c r="B4215" s="9" t="s">
        <v>7653</v>
      </c>
      <c r="C4215" s="15" t="s">
        <v>3568</v>
      </c>
      <c r="D4215" s="12" t="str">
        <f>"0887-8722"</f>
        <v>0887-8722</v>
      </c>
      <c r="E4215" s="5">
        <v>1.7110000000000001</v>
      </c>
      <c r="F4215" s="5">
        <v>0.32300000000000001</v>
      </c>
    </row>
    <row r="4216" spans="2:6" x14ac:dyDescent="0.2">
      <c r="B4216" s="9" t="s">
        <v>10794</v>
      </c>
      <c r="C4216" s="15" t="s">
        <v>10795</v>
      </c>
      <c r="D4216" s="12" t="str">
        <f>"1003-2169"</f>
        <v>1003-2169</v>
      </c>
      <c r="E4216" s="5">
        <v>2.4380000000000002</v>
      </c>
      <c r="F4216" s="5">
        <v>0.56399999999999995</v>
      </c>
    </row>
    <row r="4217" spans="2:6" x14ac:dyDescent="0.2">
      <c r="B4217" s="9" t="s">
        <v>10796</v>
      </c>
      <c r="C4217" s="15" t="s">
        <v>10797</v>
      </c>
      <c r="D4217" s="12" t="str">
        <f>"1948-5085"</f>
        <v>1948-5085</v>
      </c>
      <c r="E4217" s="5">
        <v>1.47</v>
      </c>
      <c r="F4217" s="5">
        <v>0.24099999999999999</v>
      </c>
    </row>
    <row r="4218" spans="2:6" x14ac:dyDescent="0.2">
      <c r="B4218" s="9" t="s">
        <v>7654</v>
      </c>
      <c r="C4218" s="15" t="s">
        <v>3569</v>
      </c>
      <c r="D4218" s="12" t="str">
        <f>"0022-5223"</f>
        <v>0022-5223</v>
      </c>
      <c r="E4218" s="5">
        <v>5.2089999999999996</v>
      </c>
      <c r="F4218" s="5">
        <v>0.90500000000000003</v>
      </c>
    </row>
    <row r="4219" spans="2:6" x14ac:dyDescent="0.2">
      <c r="B4219" s="9" t="s">
        <v>10798</v>
      </c>
      <c r="C4219" s="15" t="s">
        <v>10799</v>
      </c>
      <c r="D4219" s="12" t="str">
        <f>"2077-6624"</f>
        <v>2077-6624</v>
      </c>
      <c r="E4219" s="5">
        <v>2.895</v>
      </c>
      <c r="F4219" s="5">
        <v>0.42199999999999999</v>
      </c>
    </row>
    <row r="4220" spans="2:6" x14ac:dyDescent="0.2">
      <c r="B4220" s="9" t="s">
        <v>7655</v>
      </c>
      <c r="C4220" s="15" t="s">
        <v>3570</v>
      </c>
      <c r="D4220" s="12" t="str">
        <f>"0883-5993"</f>
        <v>0883-5993</v>
      </c>
      <c r="E4220" s="5">
        <v>3</v>
      </c>
      <c r="F4220" s="5">
        <v>0.53400000000000003</v>
      </c>
    </row>
    <row r="4221" spans="2:6" x14ac:dyDescent="0.2">
      <c r="B4221" s="9" t="s">
        <v>7656</v>
      </c>
      <c r="C4221" s="15" t="s">
        <v>3571</v>
      </c>
      <c r="D4221" s="12" t="str">
        <f>"1556-0864"</f>
        <v>1556-0864</v>
      </c>
      <c r="E4221" s="5">
        <v>15.609</v>
      </c>
      <c r="F4221" s="5">
        <v>0.95299999999999996</v>
      </c>
    </row>
    <row r="4222" spans="2:6" x14ac:dyDescent="0.2">
      <c r="B4222" s="9" t="s">
        <v>7657</v>
      </c>
      <c r="C4222" s="15" t="s">
        <v>3572</v>
      </c>
      <c r="D4222" s="12" t="str">
        <f>"1538-7933"</f>
        <v>1538-7933</v>
      </c>
      <c r="E4222" s="5">
        <v>5.8239999999999998</v>
      </c>
      <c r="F4222" s="5">
        <v>0.877</v>
      </c>
    </row>
    <row r="4223" spans="2:6" x14ac:dyDescent="0.2">
      <c r="B4223" s="9" t="s">
        <v>7658</v>
      </c>
      <c r="C4223" s="15" t="s">
        <v>3573</v>
      </c>
      <c r="D4223" s="12" t="str">
        <f>"0929-5305"</f>
        <v>0929-5305</v>
      </c>
      <c r="E4223" s="5">
        <v>2.2999999999999998</v>
      </c>
      <c r="F4223" s="5">
        <v>0.35499999999999998</v>
      </c>
    </row>
    <row r="4224" spans="2:6" x14ac:dyDescent="0.2">
      <c r="B4224" s="9" t="s">
        <v>7659</v>
      </c>
      <c r="C4224" s="15" t="s">
        <v>3574</v>
      </c>
      <c r="D4224" s="12" t="str">
        <f>"0143-9782"</f>
        <v>0143-9782</v>
      </c>
      <c r="E4224" s="5">
        <v>1.3660000000000001</v>
      </c>
      <c r="F4224" s="5">
        <v>0.44</v>
      </c>
    </row>
    <row r="4225" spans="2:6" x14ac:dyDescent="0.2">
      <c r="B4225" s="9" t="s">
        <v>575</v>
      </c>
      <c r="C4225" s="15" t="s">
        <v>576</v>
      </c>
      <c r="D4225" s="12" t="str">
        <f>"1932-6254"</f>
        <v>1932-6254</v>
      </c>
      <c r="E4225" s="5">
        <v>3.9630000000000001</v>
      </c>
      <c r="F4225" s="5">
        <v>0.69</v>
      </c>
    </row>
    <row r="4226" spans="2:6" x14ac:dyDescent="0.2">
      <c r="B4226" s="9" t="s">
        <v>10800</v>
      </c>
      <c r="C4226" s="15" t="s">
        <v>10801</v>
      </c>
      <c r="D4226" s="12" t="str">
        <f>"0965-206X"</f>
        <v>0965-206X</v>
      </c>
      <c r="E4226" s="5">
        <v>2.9319999999999999</v>
      </c>
      <c r="F4226" s="5">
        <v>0.88900000000000001</v>
      </c>
    </row>
    <row r="4227" spans="2:6" ht="25.5" x14ac:dyDescent="0.2">
      <c r="B4227" s="9" t="s">
        <v>577</v>
      </c>
      <c r="C4227" s="15" t="s">
        <v>578</v>
      </c>
      <c r="D4227" s="12" t="str">
        <f>"0098-4108"</f>
        <v>0098-4108</v>
      </c>
      <c r="E4227" s="5">
        <v>2.5270000000000001</v>
      </c>
      <c r="F4227" s="5">
        <v>0.51500000000000001</v>
      </c>
    </row>
    <row r="4228" spans="2:6" ht="25.5" x14ac:dyDescent="0.2">
      <c r="B4228" s="9" t="s">
        <v>579</v>
      </c>
      <c r="C4228" s="15" t="s">
        <v>580</v>
      </c>
      <c r="D4228" s="12" t="str">
        <f>"1093-7404"</f>
        <v>1093-7404</v>
      </c>
      <c r="E4228" s="5">
        <v>6.3929999999999998</v>
      </c>
      <c r="F4228" s="5">
        <v>0.93500000000000005</v>
      </c>
    </row>
    <row r="4229" spans="2:6" x14ac:dyDescent="0.2">
      <c r="B4229" s="9" t="s">
        <v>10802</v>
      </c>
      <c r="C4229" s="15" t="s">
        <v>10803</v>
      </c>
      <c r="D4229" s="12" t="str">
        <f>"0914-9198"</f>
        <v>0914-9198</v>
      </c>
      <c r="E4229" s="5">
        <v>1.6279999999999999</v>
      </c>
      <c r="F4229" s="5">
        <v>0.247</v>
      </c>
    </row>
    <row r="4230" spans="2:6" x14ac:dyDescent="0.2">
      <c r="B4230" s="9" t="s">
        <v>10804</v>
      </c>
      <c r="C4230" s="15" t="s">
        <v>10805</v>
      </c>
      <c r="D4230" s="12" t="str">
        <f>"0388-1350"</f>
        <v>0388-1350</v>
      </c>
      <c r="E4230" s="5">
        <v>2.1960000000000002</v>
      </c>
      <c r="F4230" s="5">
        <v>0.17199999999999999</v>
      </c>
    </row>
    <row r="4231" spans="2:6" x14ac:dyDescent="0.2">
      <c r="B4231" s="9" t="s">
        <v>7660</v>
      </c>
      <c r="C4231" s="15" t="s">
        <v>3575</v>
      </c>
      <c r="D4231" s="12" t="str">
        <f>"0946-672X"</f>
        <v>0946-672X</v>
      </c>
      <c r="E4231" s="5">
        <v>3.8490000000000002</v>
      </c>
      <c r="F4231" s="5">
        <v>0.49299999999999999</v>
      </c>
    </row>
    <row r="4232" spans="2:6" x14ac:dyDescent="0.2">
      <c r="B4232" s="9" t="s">
        <v>10806</v>
      </c>
      <c r="C4232" s="15" t="s">
        <v>10807</v>
      </c>
      <c r="D4232" s="12" t="str">
        <f>"0255-2922"</f>
        <v>0255-2922</v>
      </c>
      <c r="E4232" s="5">
        <v>0.84799999999999998</v>
      </c>
      <c r="F4232" s="5">
        <v>7.0999999999999994E-2</v>
      </c>
    </row>
    <row r="4233" spans="2:6" x14ac:dyDescent="0.2">
      <c r="B4233" s="9" t="s">
        <v>581</v>
      </c>
      <c r="C4233" s="15" t="s">
        <v>582</v>
      </c>
      <c r="D4233" s="12" t="str">
        <f>"1043-6596"</f>
        <v>1043-6596</v>
      </c>
      <c r="E4233" s="5">
        <v>1.9590000000000001</v>
      </c>
      <c r="F4233" s="5">
        <v>0.51600000000000001</v>
      </c>
    </row>
    <row r="4234" spans="2:6" x14ac:dyDescent="0.2">
      <c r="B4234" s="9" t="s">
        <v>10808</v>
      </c>
      <c r="C4234" s="15" t="s">
        <v>10809</v>
      </c>
      <c r="D4234" s="12" t="str">
        <f>"2450-131X"</f>
        <v>2450-131X</v>
      </c>
      <c r="E4234" s="5">
        <v>3.4510000000000001</v>
      </c>
      <c r="F4234" s="5">
        <v>0.71899999999999997</v>
      </c>
    </row>
    <row r="4235" spans="2:6" x14ac:dyDescent="0.2">
      <c r="B4235" s="9" t="s">
        <v>583</v>
      </c>
      <c r="C4235" s="15" t="s">
        <v>584</v>
      </c>
      <c r="D4235" s="12" t="str">
        <f>"1479-5876"</f>
        <v>1479-5876</v>
      </c>
      <c r="E4235" s="5">
        <v>5.5309999999999997</v>
      </c>
      <c r="F4235" s="5">
        <v>0.71399999999999997</v>
      </c>
    </row>
    <row r="4236" spans="2:6" x14ac:dyDescent="0.2">
      <c r="B4236" s="9" t="s">
        <v>10810</v>
      </c>
      <c r="C4236" s="15" t="s">
        <v>10811</v>
      </c>
      <c r="D4236" s="12" t="str">
        <f>"2214-1405"</f>
        <v>2214-1405</v>
      </c>
      <c r="E4236" s="5">
        <v>2.7959999999999998</v>
      </c>
      <c r="F4236" s="5">
        <v>0.58699999999999997</v>
      </c>
    </row>
    <row r="4237" spans="2:6" x14ac:dyDescent="0.2">
      <c r="B4237" s="9" t="s">
        <v>10812</v>
      </c>
      <c r="C4237" s="15" t="s">
        <v>10813</v>
      </c>
      <c r="D4237" s="12" t="str">
        <f>"2163-0755"</f>
        <v>2163-0755</v>
      </c>
      <c r="E4237" s="5">
        <v>3.3130000000000002</v>
      </c>
      <c r="F4237" s="5">
        <v>0.68100000000000005</v>
      </c>
    </row>
    <row r="4238" spans="2:6" x14ac:dyDescent="0.2">
      <c r="B4238" s="9" t="s">
        <v>10814</v>
      </c>
      <c r="C4238" s="15" t="s">
        <v>10815</v>
      </c>
      <c r="D4238" s="12" t="str">
        <f>"1529-9732"</f>
        <v>1529-9732</v>
      </c>
      <c r="E4238" s="5">
        <v>2.754</v>
      </c>
      <c r="F4238" s="5">
        <v>0.46200000000000002</v>
      </c>
    </row>
    <row r="4239" spans="2:6" x14ac:dyDescent="0.2">
      <c r="B4239" s="9" t="s">
        <v>10816</v>
      </c>
      <c r="C4239" s="15" t="s">
        <v>10817</v>
      </c>
      <c r="D4239" s="12" t="str">
        <f>"1078-7496"</f>
        <v>1078-7496</v>
      </c>
      <c r="E4239" s="5">
        <v>1.01</v>
      </c>
      <c r="F4239" s="5">
        <v>0.13500000000000001</v>
      </c>
    </row>
    <row r="4240" spans="2:6" x14ac:dyDescent="0.2">
      <c r="B4240" s="9" t="s">
        <v>585</v>
      </c>
      <c r="C4240" s="15" t="s">
        <v>586</v>
      </c>
      <c r="D4240" s="12" t="str">
        <f>"0894-9867"</f>
        <v>0894-9867</v>
      </c>
      <c r="E4240" s="5">
        <v>3.476</v>
      </c>
      <c r="F4240" s="5">
        <v>0.61499999999999999</v>
      </c>
    </row>
    <row r="4241" spans="2:6" x14ac:dyDescent="0.2">
      <c r="B4241" s="9" t="s">
        <v>7661</v>
      </c>
      <c r="C4241" s="15" t="s">
        <v>3576</v>
      </c>
      <c r="D4241" s="12" t="str">
        <f>"1708-8305"</f>
        <v>1708-8305</v>
      </c>
      <c r="E4241" s="5">
        <v>8.49</v>
      </c>
      <c r="F4241" s="5">
        <v>0.96699999999999997</v>
      </c>
    </row>
    <row r="4242" spans="2:6" x14ac:dyDescent="0.2">
      <c r="B4242" s="9" t="s">
        <v>7662</v>
      </c>
      <c r="C4242" s="15" t="s">
        <v>3577</v>
      </c>
      <c r="D4242" s="12" t="str">
        <f>"0742-4787"</f>
        <v>0742-4787</v>
      </c>
      <c r="E4242" s="5">
        <v>2.0449999999999999</v>
      </c>
      <c r="F4242" s="5">
        <v>0.47399999999999998</v>
      </c>
    </row>
    <row r="4243" spans="2:6" x14ac:dyDescent="0.2">
      <c r="B4243" s="9" t="s">
        <v>10818</v>
      </c>
      <c r="C4243" s="15" t="s">
        <v>10819</v>
      </c>
      <c r="D4243" s="12" t="str">
        <f>"1687-9686"</f>
        <v>1687-9686</v>
      </c>
      <c r="E4243" s="5">
        <v>2.488</v>
      </c>
      <c r="F4243" s="5">
        <v>0.60899999999999999</v>
      </c>
    </row>
    <row r="4244" spans="2:6" x14ac:dyDescent="0.2">
      <c r="B4244" s="9" t="s">
        <v>7663</v>
      </c>
      <c r="C4244" s="15" t="s">
        <v>3578</v>
      </c>
      <c r="D4244" s="12" t="str">
        <f>"0142-6338"</f>
        <v>0142-6338</v>
      </c>
      <c r="E4244" s="5">
        <v>1.165</v>
      </c>
      <c r="F4244" s="5">
        <v>0.26100000000000001</v>
      </c>
    </row>
    <row r="4245" spans="2:6" x14ac:dyDescent="0.2">
      <c r="B4245" s="9" t="s">
        <v>7664</v>
      </c>
      <c r="C4245" s="15" t="s">
        <v>3579</v>
      </c>
      <c r="D4245" s="12" t="str">
        <f>"0889-504X"</f>
        <v>0889-504X</v>
      </c>
      <c r="E4245" s="5">
        <v>1.6879999999999999</v>
      </c>
      <c r="F4245" s="5">
        <v>0.316</v>
      </c>
    </row>
    <row r="4246" spans="2:6" x14ac:dyDescent="0.2">
      <c r="B4246" s="9" t="s">
        <v>10820</v>
      </c>
      <c r="C4246" s="15" t="s">
        <v>10821</v>
      </c>
      <c r="D4246" s="12" t="str">
        <f>"1930-2975"</f>
        <v>1930-2975</v>
      </c>
      <c r="E4246" s="5">
        <v>2.5430000000000001</v>
      </c>
      <c r="F4246" s="5">
        <v>0.59699999999999998</v>
      </c>
    </row>
    <row r="4247" spans="2:6" x14ac:dyDescent="0.2">
      <c r="B4247" s="9" t="s">
        <v>7665</v>
      </c>
      <c r="C4247" s="15" t="s">
        <v>3580</v>
      </c>
      <c r="D4247" s="12" t="str">
        <f>"0278-4297"</f>
        <v>0278-4297</v>
      </c>
      <c r="E4247" s="5">
        <v>2.153</v>
      </c>
      <c r="F4247" s="5">
        <v>0.64500000000000002</v>
      </c>
    </row>
    <row r="4248" spans="2:6" x14ac:dyDescent="0.2">
      <c r="B4248" s="9" t="s">
        <v>10822</v>
      </c>
      <c r="C4248" s="15" t="s">
        <v>10823</v>
      </c>
      <c r="D4248" s="12" t="str">
        <f>"2008-3645"</f>
        <v>2008-3645</v>
      </c>
      <c r="E4248" s="5">
        <v>0.747</v>
      </c>
      <c r="F4248" s="5">
        <v>3.6999999999999998E-2</v>
      </c>
    </row>
    <row r="4249" spans="2:6" ht="25.5" x14ac:dyDescent="0.2">
      <c r="B4249" s="9" t="s">
        <v>7666</v>
      </c>
      <c r="C4249" s="15" t="s">
        <v>3581</v>
      </c>
      <c r="D4249" s="12" t="str">
        <f>"1099-3460"</f>
        <v>1099-3460</v>
      </c>
      <c r="E4249" s="5">
        <v>3.6709999999999998</v>
      </c>
      <c r="F4249" s="5">
        <v>0.754</v>
      </c>
    </row>
    <row r="4250" spans="2:6" x14ac:dyDescent="0.2">
      <c r="B4250" s="9" t="s">
        <v>7667</v>
      </c>
      <c r="C4250" s="15" t="s">
        <v>3582</v>
      </c>
      <c r="D4250" s="12" t="str">
        <f>"0022-5347"</f>
        <v>0022-5347</v>
      </c>
      <c r="E4250" s="5">
        <v>7.45</v>
      </c>
      <c r="F4250" s="5">
        <v>0.89900000000000002</v>
      </c>
    </row>
    <row r="4251" spans="2:6" x14ac:dyDescent="0.2">
      <c r="B4251" s="9" t="s">
        <v>10824</v>
      </c>
      <c r="C4251" s="15" t="s">
        <v>10825</v>
      </c>
      <c r="D4251" s="12" t="str">
        <f>"1129-7298"</f>
        <v>1129-7298</v>
      </c>
      <c r="E4251" s="5">
        <v>2.2829999999999999</v>
      </c>
      <c r="F4251" s="5">
        <v>0.26200000000000001</v>
      </c>
    </row>
    <row r="4252" spans="2:6" x14ac:dyDescent="0.2">
      <c r="B4252" s="9" t="s">
        <v>7668</v>
      </c>
      <c r="C4252" s="15" t="s">
        <v>3583</v>
      </c>
      <c r="D4252" s="12" t="str">
        <f>"1051-0443"</f>
        <v>1051-0443</v>
      </c>
      <c r="E4252" s="5">
        <v>3.464</v>
      </c>
      <c r="F4252" s="5">
        <v>0.61699999999999999</v>
      </c>
    </row>
    <row r="4253" spans="2:6" x14ac:dyDescent="0.2">
      <c r="B4253" s="9" t="s">
        <v>7669</v>
      </c>
      <c r="C4253" s="15" t="s">
        <v>3584</v>
      </c>
      <c r="D4253" s="12" t="str">
        <f>"1018-1172"</f>
        <v>1018-1172</v>
      </c>
      <c r="E4253" s="5">
        <v>1.9339999999999999</v>
      </c>
      <c r="F4253" s="5">
        <v>0.21</v>
      </c>
    </row>
    <row r="4254" spans="2:6" x14ac:dyDescent="0.2">
      <c r="B4254" s="9" t="s">
        <v>7670</v>
      </c>
      <c r="C4254" s="15" t="s">
        <v>3585</v>
      </c>
      <c r="D4254" s="12" t="str">
        <f>"0741-5214"</f>
        <v>0741-5214</v>
      </c>
      <c r="E4254" s="5">
        <v>4.2679999999999998</v>
      </c>
      <c r="F4254" s="5">
        <v>0.82399999999999995</v>
      </c>
    </row>
    <row r="4255" spans="2:6" x14ac:dyDescent="0.2">
      <c r="B4255" s="9" t="s">
        <v>10826</v>
      </c>
      <c r="C4255" s="15" t="s">
        <v>10827</v>
      </c>
      <c r="D4255" s="12" t="str">
        <f>"2213-333X"</f>
        <v>2213-333X</v>
      </c>
      <c r="E4255" s="5">
        <v>2.859</v>
      </c>
      <c r="F4255" s="5">
        <v>0.61899999999999999</v>
      </c>
    </row>
    <row r="4256" spans="2:6" x14ac:dyDescent="0.2">
      <c r="B4256" s="9" t="s">
        <v>10828</v>
      </c>
      <c r="C4256" s="15" t="s">
        <v>10829</v>
      </c>
      <c r="D4256" s="12" t="str">
        <f>"0972-9062"</f>
        <v>0972-9062</v>
      </c>
      <c r="E4256" s="5">
        <v>1.6879999999999999</v>
      </c>
      <c r="F4256" s="5">
        <v>0.435</v>
      </c>
    </row>
    <row r="4257" spans="2:6" x14ac:dyDescent="0.2">
      <c r="B4257" s="9" t="s">
        <v>587</v>
      </c>
      <c r="C4257" s="15" t="s">
        <v>588</v>
      </c>
      <c r="D4257" s="12" t="str">
        <f>"1678-9199"</f>
        <v>1678-9199</v>
      </c>
      <c r="E4257" s="5">
        <v>2.831</v>
      </c>
      <c r="F4257" s="5">
        <v>0.73899999999999999</v>
      </c>
    </row>
    <row r="4258" spans="2:6" x14ac:dyDescent="0.2">
      <c r="B4258" s="9" t="s">
        <v>7671</v>
      </c>
      <c r="C4258" s="15" t="s">
        <v>3586</v>
      </c>
      <c r="D4258" s="12" t="str">
        <f>"0957-4271"</f>
        <v>0957-4271</v>
      </c>
      <c r="E4258" s="5">
        <v>2.4350000000000001</v>
      </c>
      <c r="F4258" s="5">
        <v>0.59099999999999997</v>
      </c>
    </row>
    <row r="4259" spans="2:6" x14ac:dyDescent="0.2">
      <c r="B4259" s="9" t="s">
        <v>10830</v>
      </c>
      <c r="C4259" s="15" t="s">
        <v>10831</v>
      </c>
      <c r="D4259" s="12" t="str">
        <f>"1558-7878"</f>
        <v>1558-7878</v>
      </c>
      <c r="E4259" s="5">
        <v>1.9750000000000001</v>
      </c>
      <c r="F4259" s="5">
        <v>0.67100000000000004</v>
      </c>
    </row>
    <row r="4260" spans="2:6" x14ac:dyDescent="0.2">
      <c r="B4260" s="9" t="s">
        <v>10832</v>
      </c>
      <c r="C4260" s="15" t="s">
        <v>10833</v>
      </c>
      <c r="D4260" s="12" t="str">
        <f>"1760-2734"</f>
        <v>1760-2734</v>
      </c>
      <c r="E4260" s="5">
        <v>1.7010000000000001</v>
      </c>
      <c r="F4260" s="5">
        <v>0.61599999999999999</v>
      </c>
    </row>
    <row r="4261" spans="2:6" x14ac:dyDescent="0.2">
      <c r="B4261" s="9" t="s">
        <v>7672</v>
      </c>
      <c r="C4261" s="15" t="s">
        <v>3587</v>
      </c>
      <c r="D4261" s="12" t="str">
        <f>"0898-7564"</f>
        <v>0898-7564</v>
      </c>
      <c r="E4261" s="5">
        <v>0.85699999999999998</v>
      </c>
      <c r="F4261" s="5">
        <v>0.30099999999999999</v>
      </c>
    </row>
    <row r="4262" spans="2:6" x14ac:dyDescent="0.2">
      <c r="B4262" s="9" t="s">
        <v>7673</v>
      </c>
      <c r="C4262" s="15" t="s">
        <v>3588</v>
      </c>
      <c r="D4262" s="12" t="str">
        <f>"1943-4936"</f>
        <v>1943-4936</v>
      </c>
      <c r="E4262" s="5">
        <v>1.2789999999999999</v>
      </c>
      <c r="F4262" s="5">
        <v>0.41099999999999998</v>
      </c>
    </row>
    <row r="4263" spans="2:6" x14ac:dyDescent="0.2">
      <c r="B4263" s="9" t="s">
        <v>7674</v>
      </c>
      <c r="C4263" s="15" t="s">
        <v>3589</v>
      </c>
      <c r="D4263" s="12" t="str">
        <f>"1479-3261"</f>
        <v>1479-3261</v>
      </c>
      <c r="E4263" s="5">
        <v>1.5429999999999999</v>
      </c>
      <c r="F4263" s="5">
        <v>0.52700000000000002</v>
      </c>
    </row>
    <row r="4264" spans="2:6" x14ac:dyDescent="0.2">
      <c r="B4264" s="9" t="s">
        <v>7675</v>
      </c>
      <c r="C4264" s="15" t="s">
        <v>3590</v>
      </c>
      <c r="D4264" s="12" t="str">
        <f>"0891-6640"</f>
        <v>0891-6640</v>
      </c>
      <c r="E4264" s="5">
        <v>3.3330000000000002</v>
      </c>
      <c r="F4264" s="5">
        <v>0.92500000000000004</v>
      </c>
    </row>
    <row r="4265" spans="2:6" x14ac:dyDescent="0.2">
      <c r="B4265" s="9" t="s">
        <v>7676</v>
      </c>
      <c r="C4265" s="15" t="s">
        <v>3591</v>
      </c>
      <c r="D4265" s="12" t="str">
        <f>"0748-321X"</f>
        <v>0748-321X</v>
      </c>
      <c r="E4265" s="5">
        <v>1.0269999999999999</v>
      </c>
      <c r="F4265" s="5">
        <v>0.34899999999999998</v>
      </c>
    </row>
    <row r="4266" spans="2:6" x14ac:dyDescent="0.2">
      <c r="B4266" s="9" t="s">
        <v>7677</v>
      </c>
      <c r="C4266" s="15" t="s">
        <v>3592</v>
      </c>
      <c r="D4266" s="12" t="str">
        <f>"1347-7439"</f>
        <v>1347-7439</v>
      </c>
      <c r="E4266" s="5">
        <v>1.2669999999999999</v>
      </c>
      <c r="F4266" s="5">
        <v>0.40400000000000003</v>
      </c>
    </row>
    <row r="4267" spans="2:6" x14ac:dyDescent="0.2">
      <c r="B4267" s="9" t="s">
        <v>7678</v>
      </c>
      <c r="C4267" s="15" t="s">
        <v>3593</v>
      </c>
      <c r="D4267" s="12" t="str">
        <f>"0140-7783"</f>
        <v>0140-7783</v>
      </c>
      <c r="E4267" s="5">
        <v>1.786</v>
      </c>
      <c r="F4267" s="5">
        <v>0.63</v>
      </c>
    </row>
    <row r="4268" spans="2:6" x14ac:dyDescent="0.2">
      <c r="B4268" s="9" t="s">
        <v>10834</v>
      </c>
      <c r="C4268" s="15" t="s">
        <v>10835</v>
      </c>
      <c r="D4268" s="12" t="str">
        <f>"2450-7393"</f>
        <v>2450-7393</v>
      </c>
      <c r="E4268" s="5">
        <v>1.744</v>
      </c>
      <c r="F4268" s="5">
        <v>0.623</v>
      </c>
    </row>
    <row r="4269" spans="2:6" x14ac:dyDescent="0.2">
      <c r="B4269" s="9" t="s">
        <v>10836</v>
      </c>
      <c r="C4269" s="15" t="s">
        <v>10837</v>
      </c>
      <c r="D4269" s="12" t="str">
        <f>"1229-845X"</f>
        <v>1229-845X</v>
      </c>
      <c r="E4269" s="5">
        <v>1.6719999999999999</v>
      </c>
      <c r="F4269" s="5">
        <v>0.59599999999999997</v>
      </c>
    </row>
    <row r="4270" spans="2:6" x14ac:dyDescent="0.2">
      <c r="B4270" s="9" t="s">
        <v>7679</v>
      </c>
      <c r="C4270" s="15" t="s">
        <v>3594</v>
      </c>
      <c r="D4270" s="12" t="str">
        <f>"1048-9002"</f>
        <v>1048-9002</v>
      </c>
      <c r="E4270" s="5">
        <v>1.583</v>
      </c>
      <c r="F4270" s="5">
        <v>0.45200000000000001</v>
      </c>
    </row>
    <row r="4271" spans="2:6" x14ac:dyDescent="0.2">
      <c r="B4271" s="9" t="s">
        <v>7680</v>
      </c>
      <c r="C4271" s="15" t="s">
        <v>3595</v>
      </c>
      <c r="D4271" s="12" t="str">
        <f>"1077-5463"</f>
        <v>1077-5463</v>
      </c>
      <c r="E4271" s="5">
        <v>3.0950000000000002</v>
      </c>
      <c r="F4271" s="5">
        <v>0.83899999999999997</v>
      </c>
    </row>
    <row r="4272" spans="2:6" x14ac:dyDescent="0.2">
      <c r="B4272" s="9" t="s">
        <v>10838</v>
      </c>
      <c r="C4272" s="15" t="s">
        <v>10839</v>
      </c>
      <c r="D4272" s="12" t="str">
        <f>"2523-3920"</f>
        <v>2523-3920</v>
      </c>
      <c r="E4272" s="5">
        <v>1.889</v>
      </c>
      <c r="F4272" s="5">
        <v>0.376</v>
      </c>
    </row>
    <row r="4273" spans="2:6" x14ac:dyDescent="0.2">
      <c r="B4273" s="9" t="s">
        <v>7681</v>
      </c>
      <c r="C4273" s="15" t="s">
        <v>3596</v>
      </c>
      <c r="D4273" s="12" t="str">
        <f>"1352-0504"</f>
        <v>1352-0504</v>
      </c>
      <c r="E4273" s="5">
        <v>3.7280000000000002</v>
      </c>
      <c r="F4273" s="5">
        <v>0.56499999999999995</v>
      </c>
    </row>
    <row r="4274" spans="2:6" x14ac:dyDescent="0.2">
      <c r="B4274" s="9" t="s">
        <v>7682</v>
      </c>
      <c r="C4274" s="15" t="s">
        <v>3597</v>
      </c>
      <c r="D4274" s="12" t="str">
        <f>"0022-538X"</f>
        <v>0022-538X</v>
      </c>
      <c r="E4274" s="5">
        <v>5.1029999999999998</v>
      </c>
      <c r="F4274" s="5">
        <v>0.77800000000000002</v>
      </c>
    </row>
    <row r="4275" spans="2:6" x14ac:dyDescent="0.2">
      <c r="B4275" s="9" t="s">
        <v>7683</v>
      </c>
      <c r="C4275" s="15" t="s">
        <v>3598</v>
      </c>
      <c r="D4275" s="12" t="str">
        <f>"0166-0934"</f>
        <v>0166-0934</v>
      </c>
      <c r="E4275" s="5">
        <v>2.0139999999999998</v>
      </c>
      <c r="F4275" s="5">
        <v>0.247</v>
      </c>
    </row>
    <row r="4276" spans="2:6" x14ac:dyDescent="0.2">
      <c r="B4276" s="9" t="s">
        <v>10840</v>
      </c>
      <c r="C4276" s="15" t="s">
        <v>10841</v>
      </c>
      <c r="D4276" s="12" t="str">
        <f>"2055-6640"</f>
        <v>2055-6640</v>
      </c>
      <c r="E4276" s="5">
        <v>3.6960000000000002</v>
      </c>
      <c r="F4276" s="5">
        <v>0.53300000000000003</v>
      </c>
    </row>
    <row r="4277" spans="2:6" x14ac:dyDescent="0.2">
      <c r="B4277" s="9" t="s">
        <v>10842</v>
      </c>
      <c r="C4277" s="15" t="s">
        <v>10843</v>
      </c>
      <c r="D4277" s="12" t="str">
        <f>"1878-7886"</f>
        <v>1878-7886</v>
      </c>
      <c r="E4277" s="5">
        <v>2.0430000000000001</v>
      </c>
      <c r="F4277" s="5">
        <v>0.38100000000000001</v>
      </c>
    </row>
    <row r="4278" spans="2:6" x14ac:dyDescent="0.2">
      <c r="B4278" s="9" t="s">
        <v>7684</v>
      </c>
      <c r="C4278" s="15" t="s">
        <v>3599</v>
      </c>
      <c r="D4278" s="12" t="str">
        <f>"1534-7362"</f>
        <v>1534-7362</v>
      </c>
      <c r="E4278" s="5">
        <v>2.2400000000000002</v>
      </c>
      <c r="F4278" s="5">
        <v>0.38700000000000001</v>
      </c>
    </row>
    <row r="4279" spans="2:6" x14ac:dyDescent="0.2">
      <c r="B4279" s="9" t="s">
        <v>589</v>
      </c>
      <c r="C4279" s="15" t="s">
        <v>590</v>
      </c>
      <c r="D4279" s="12" t="str">
        <f>"0145-482X"</f>
        <v>0145-482X</v>
      </c>
      <c r="E4279" s="5">
        <v>0.79800000000000004</v>
      </c>
      <c r="F4279" s="5">
        <v>2.5000000000000001E-2</v>
      </c>
    </row>
    <row r="4280" spans="2:6" x14ac:dyDescent="0.2">
      <c r="B4280" s="9" t="s">
        <v>10844</v>
      </c>
      <c r="C4280" s="15" t="s">
        <v>10845</v>
      </c>
      <c r="D4280" s="12" t="str">
        <f>"1343-8875"</f>
        <v>1343-8875</v>
      </c>
      <c r="E4280" s="5">
        <v>1.331</v>
      </c>
      <c r="F4280" s="5">
        <v>0.24099999999999999</v>
      </c>
    </row>
    <row r="4281" spans="2:6" x14ac:dyDescent="0.2">
      <c r="B4281" s="9" t="s">
        <v>591</v>
      </c>
      <c r="C4281" s="15" t="s">
        <v>592</v>
      </c>
      <c r="D4281" s="12" t="str">
        <f>"0001-8791"</f>
        <v>0001-8791</v>
      </c>
      <c r="E4281" s="5">
        <v>6.0650000000000004</v>
      </c>
      <c r="F4281" s="5">
        <v>0.83099999999999996</v>
      </c>
    </row>
    <row r="4282" spans="2:6" x14ac:dyDescent="0.2">
      <c r="B4282" s="9" t="s">
        <v>7685</v>
      </c>
      <c r="C4282" s="15" t="s">
        <v>3600</v>
      </c>
      <c r="D4282" s="12" t="str">
        <f>"0892-1997"</f>
        <v>0892-1997</v>
      </c>
      <c r="E4282" s="5">
        <v>2.0089999999999999</v>
      </c>
      <c r="F4282" s="5">
        <v>0.45500000000000002</v>
      </c>
    </row>
    <row r="4283" spans="2:6" x14ac:dyDescent="0.2">
      <c r="B4283" s="9" t="s">
        <v>10846</v>
      </c>
      <c r="C4283" s="15" t="s">
        <v>10847</v>
      </c>
      <c r="D4283" s="12" t="str">
        <f>"1063-455X"</f>
        <v>1063-455X</v>
      </c>
      <c r="E4283" s="5">
        <v>0.66900000000000004</v>
      </c>
      <c r="F4283" s="5">
        <v>0.13500000000000001</v>
      </c>
    </row>
    <row r="4284" spans="2:6" x14ac:dyDescent="0.2">
      <c r="B4284" s="9" t="s">
        <v>593</v>
      </c>
      <c r="C4284" s="15" t="s">
        <v>594</v>
      </c>
      <c r="D4284" s="12" t="str">
        <f>"1477-8920"</f>
        <v>1477-8920</v>
      </c>
      <c r="E4284" s="5">
        <v>1.744</v>
      </c>
      <c r="F4284" s="5">
        <v>0.187</v>
      </c>
    </row>
    <row r="4285" spans="2:6" x14ac:dyDescent="0.2">
      <c r="B4285" s="9" t="s">
        <v>7686</v>
      </c>
      <c r="C4285" s="15" t="s">
        <v>3601</v>
      </c>
      <c r="D4285" s="12" t="str">
        <f>"0090-3558"</f>
        <v>0090-3558</v>
      </c>
      <c r="E4285" s="5">
        <v>1.5349999999999999</v>
      </c>
      <c r="F4285" s="5">
        <v>0.52100000000000002</v>
      </c>
    </row>
    <row r="4286" spans="2:6" x14ac:dyDescent="0.2">
      <c r="B4286" s="9" t="s">
        <v>595</v>
      </c>
      <c r="C4286" s="15" t="s">
        <v>596</v>
      </c>
      <c r="D4286" s="12" t="str">
        <f>"0895-2841"</f>
        <v>0895-2841</v>
      </c>
      <c r="E4286" s="5">
        <v>1.9690000000000001</v>
      </c>
      <c r="F4286" s="5">
        <v>0.59099999999999997</v>
      </c>
    </row>
    <row r="4287" spans="2:6" x14ac:dyDescent="0.2">
      <c r="B4287" s="9" t="s">
        <v>597</v>
      </c>
      <c r="C4287" s="15" t="s">
        <v>598</v>
      </c>
      <c r="D4287" s="12" t="str">
        <f>"1554-477X"</f>
        <v>1554-477X</v>
      </c>
      <c r="E4287" s="5">
        <v>2</v>
      </c>
      <c r="F4287" s="5">
        <v>0.61399999999999999</v>
      </c>
    </row>
    <row r="4288" spans="2:6" x14ac:dyDescent="0.2">
      <c r="B4288" s="9" t="s">
        <v>7687</v>
      </c>
      <c r="C4288" s="15" t="s">
        <v>3602</v>
      </c>
      <c r="D4288" s="12" t="str">
        <f>"1540-9996"</f>
        <v>1540-9996</v>
      </c>
      <c r="E4288" s="5">
        <v>2.681</v>
      </c>
      <c r="F4288" s="5">
        <v>0.81799999999999995</v>
      </c>
    </row>
    <row r="4289" spans="2:6" x14ac:dyDescent="0.2">
      <c r="B4289" s="9" t="s">
        <v>10848</v>
      </c>
      <c r="C4289" s="15" t="s">
        <v>10849</v>
      </c>
      <c r="D4289" s="12" t="str">
        <f>"1042-7961"</f>
        <v>1042-7961</v>
      </c>
      <c r="E4289" s="5">
        <v>0.373</v>
      </c>
      <c r="F4289" s="5">
        <v>0.20799999999999999</v>
      </c>
    </row>
    <row r="4290" spans="2:6" ht="25.5" x14ac:dyDescent="0.2">
      <c r="B4290" s="9" t="s">
        <v>10850</v>
      </c>
      <c r="C4290" s="15" t="s">
        <v>10851</v>
      </c>
      <c r="D4290" s="12" t="str">
        <f>"1576-5962"</f>
        <v>1576-5962</v>
      </c>
      <c r="E4290" s="5">
        <v>2.4780000000000002</v>
      </c>
      <c r="F4290" s="5">
        <v>0.39800000000000002</v>
      </c>
    </row>
    <row r="4291" spans="2:6" x14ac:dyDescent="0.2">
      <c r="B4291" s="9" t="s">
        <v>10852</v>
      </c>
      <c r="C4291" s="15" t="s">
        <v>10853</v>
      </c>
      <c r="D4291" s="12" t="str">
        <f>"0969-0700"</f>
        <v>0969-0700</v>
      </c>
      <c r="E4291" s="5">
        <v>2.0720000000000001</v>
      </c>
      <c r="F4291" s="5">
        <v>0.32400000000000001</v>
      </c>
    </row>
    <row r="4292" spans="2:6" x14ac:dyDescent="0.2">
      <c r="B4292" s="9" t="s">
        <v>599</v>
      </c>
      <c r="C4292" s="15" t="s">
        <v>600</v>
      </c>
      <c r="D4292" s="12" t="str">
        <f>"1071-5754"</f>
        <v>1071-5754</v>
      </c>
      <c r="E4292" s="5">
        <v>1.7410000000000001</v>
      </c>
      <c r="F4292" s="5">
        <v>0.42899999999999999</v>
      </c>
    </row>
    <row r="4293" spans="2:6" x14ac:dyDescent="0.2">
      <c r="B4293" s="9" t="s">
        <v>601</v>
      </c>
      <c r="C4293" s="15" t="s">
        <v>602</v>
      </c>
      <c r="D4293" s="12" t="str">
        <f>"0895-3996"</f>
        <v>0895-3996</v>
      </c>
      <c r="E4293" s="5">
        <v>1.5349999999999999</v>
      </c>
      <c r="F4293" s="5">
        <v>0.313</v>
      </c>
    </row>
    <row r="4294" spans="2:6" x14ac:dyDescent="0.2">
      <c r="B4294" s="9" t="s">
        <v>603</v>
      </c>
      <c r="C4294" s="15" t="s">
        <v>604</v>
      </c>
      <c r="D4294" s="12" t="str">
        <f>"0047-2891"</f>
        <v>0047-2891</v>
      </c>
      <c r="E4294" s="5">
        <v>4.3810000000000002</v>
      </c>
      <c r="F4294" s="5">
        <v>0.83099999999999996</v>
      </c>
    </row>
    <row r="4295" spans="2:6" x14ac:dyDescent="0.2">
      <c r="B4295" s="9" t="s">
        <v>10854</v>
      </c>
      <c r="C4295" s="15" t="s">
        <v>10855</v>
      </c>
      <c r="D4295" s="12" t="str">
        <f>"1367-6261"</f>
        <v>1367-6261</v>
      </c>
      <c r="E4295" s="5">
        <v>2.589</v>
      </c>
      <c r="F4295" s="5">
        <v>0.69699999999999995</v>
      </c>
    </row>
    <row r="4296" spans="2:6" x14ac:dyDescent="0.2">
      <c r="B4296" s="9" t="s">
        <v>605</v>
      </c>
      <c r="C4296" s="15" t="s">
        <v>606</v>
      </c>
      <c r="D4296" s="12" t="str">
        <f>"1673-1581"</f>
        <v>1673-1581</v>
      </c>
      <c r="E4296" s="5">
        <v>3.0659999999999998</v>
      </c>
      <c r="F4296" s="5">
        <v>0.47499999999999998</v>
      </c>
    </row>
    <row r="4297" spans="2:6" x14ac:dyDescent="0.2">
      <c r="B4297" s="9" t="s">
        <v>7688</v>
      </c>
      <c r="C4297" s="15" t="s">
        <v>3603</v>
      </c>
      <c r="D4297" s="12" t="str">
        <f>"1042-7260"</f>
        <v>1042-7260</v>
      </c>
      <c r="E4297" s="5">
        <v>0.77600000000000002</v>
      </c>
      <c r="F4297" s="5">
        <v>0.26700000000000002</v>
      </c>
    </row>
    <row r="4298" spans="2:6" x14ac:dyDescent="0.2">
      <c r="B4298" s="9" t="s">
        <v>10856</v>
      </c>
      <c r="C4298" s="15" t="s">
        <v>10857</v>
      </c>
      <c r="D4298" s="12" t="str">
        <f>"1300-6045"</f>
        <v>1300-6045</v>
      </c>
      <c r="E4298" s="5">
        <v>0.68500000000000005</v>
      </c>
      <c r="F4298" s="5">
        <v>0.247</v>
      </c>
    </row>
    <row r="4299" spans="2:6" x14ac:dyDescent="0.2">
      <c r="B4299" s="9" t="s">
        <v>617</v>
      </c>
      <c r="C4299" s="15" t="s">
        <v>618</v>
      </c>
      <c r="D4299" s="12" t="str">
        <f>"1607-551X"</f>
        <v>1607-551X</v>
      </c>
      <c r="E4299" s="5">
        <v>2.7440000000000002</v>
      </c>
      <c r="F4299" s="5">
        <v>0.34300000000000003</v>
      </c>
    </row>
    <row r="4300" spans="2:6" x14ac:dyDescent="0.2">
      <c r="B4300" s="9" t="s">
        <v>7701</v>
      </c>
      <c r="C4300" s="15" t="s">
        <v>7701</v>
      </c>
      <c r="D4300" s="12" t="str">
        <f>"0022-9040"</f>
        <v>0022-9040</v>
      </c>
      <c r="E4300" s="5">
        <v>0.39500000000000002</v>
      </c>
      <c r="F4300" s="5">
        <v>7.0000000000000001E-3</v>
      </c>
    </row>
    <row r="4301" spans="2:6" x14ac:dyDescent="0.2">
      <c r="B4301" s="9" t="s">
        <v>619</v>
      </c>
      <c r="C4301" s="15" t="s">
        <v>620</v>
      </c>
      <c r="D4301" s="12" t="str">
        <f>"0022-9032"</f>
        <v>0022-9032</v>
      </c>
      <c r="E4301" s="5">
        <v>3.1080000000000001</v>
      </c>
      <c r="F4301" s="5">
        <v>0.51100000000000001</v>
      </c>
    </row>
    <row r="4302" spans="2:6" x14ac:dyDescent="0.2">
      <c r="B4302" s="9" t="s">
        <v>7702</v>
      </c>
      <c r="C4302" s="15" t="s">
        <v>3615</v>
      </c>
      <c r="D4302" s="12" t="str">
        <f>"1423-0143"</f>
        <v>1423-0143</v>
      </c>
      <c r="E4302" s="5">
        <v>2.6869999999999998</v>
      </c>
      <c r="F4302" s="5">
        <v>0.45700000000000002</v>
      </c>
    </row>
    <row r="4303" spans="2:6" x14ac:dyDescent="0.2">
      <c r="B4303" s="9" t="s">
        <v>10858</v>
      </c>
      <c r="C4303" s="15" t="s">
        <v>10859</v>
      </c>
      <c r="D4303" s="12" t="str">
        <f>"2296-9381"</f>
        <v>2296-9381</v>
      </c>
      <c r="E4303" s="5">
        <v>3.222</v>
      </c>
      <c r="F4303" s="5">
        <v>0.57299999999999995</v>
      </c>
    </row>
    <row r="4304" spans="2:6" x14ac:dyDescent="0.2">
      <c r="B4304" s="9" t="s">
        <v>7703</v>
      </c>
      <c r="C4304" s="15" t="s">
        <v>3616</v>
      </c>
      <c r="D4304" s="12" t="str">
        <f>"0085-2538"</f>
        <v>0085-2538</v>
      </c>
      <c r="E4304" s="5">
        <v>10.612</v>
      </c>
      <c r="F4304" s="5">
        <v>0.96599999999999997</v>
      </c>
    </row>
    <row r="4305" spans="2:6" x14ac:dyDescent="0.2">
      <c r="B4305" s="9" t="s">
        <v>10860</v>
      </c>
      <c r="C4305" s="15" t="s">
        <v>10861</v>
      </c>
      <c r="D4305" s="12" t="str">
        <f>"2468-0249"</f>
        <v>2468-0249</v>
      </c>
      <c r="E4305" s="5">
        <v>4.1639999999999997</v>
      </c>
      <c r="F4305" s="5">
        <v>0.76400000000000001</v>
      </c>
    </row>
    <row r="4306" spans="2:6" x14ac:dyDescent="0.2">
      <c r="B4306" s="9" t="s">
        <v>10862</v>
      </c>
      <c r="C4306" s="15" t="s">
        <v>10863</v>
      </c>
      <c r="D4306" s="12" t="str">
        <f>"2157-1724"</f>
        <v>2157-1724</v>
      </c>
      <c r="E4306" s="5">
        <v>10.545</v>
      </c>
      <c r="F4306" s="5">
        <v>0.95499999999999996</v>
      </c>
    </row>
    <row r="4307" spans="2:6" x14ac:dyDescent="0.2">
      <c r="B4307" s="9" t="s">
        <v>10864</v>
      </c>
      <c r="C4307" s="15" t="s">
        <v>10865</v>
      </c>
      <c r="D4307" s="12" t="str">
        <f>"2211-9132"</f>
        <v>2211-9132</v>
      </c>
      <c r="E4307" s="5">
        <v>3.6669999999999998</v>
      </c>
      <c r="F4307" s="5">
        <v>0.68500000000000005</v>
      </c>
    </row>
    <row r="4308" spans="2:6" x14ac:dyDescent="0.2">
      <c r="B4308" s="9" t="s">
        <v>621</v>
      </c>
      <c r="C4308" s="15" t="s">
        <v>622</v>
      </c>
      <c r="D4308" s="12" t="str">
        <f>"0942-5403"</f>
        <v>0942-5403</v>
      </c>
      <c r="E4308" s="5">
        <v>0.60799999999999998</v>
      </c>
      <c r="F4308" s="5">
        <v>3.9E-2</v>
      </c>
    </row>
    <row r="4309" spans="2:6" x14ac:dyDescent="0.2">
      <c r="B4309" s="9" t="s">
        <v>10866</v>
      </c>
      <c r="C4309" s="15" t="s">
        <v>10867</v>
      </c>
      <c r="D4309" s="12" t="str">
        <f>"1331-1441"</f>
        <v>1331-1441</v>
      </c>
      <c r="E4309" s="5">
        <v>1.452</v>
      </c>
      <c r="F4309" s="5">
        <v>0.17</v>
      </c>
    </row>
    <row r="4310" spans="2:6" x14ac:dyDescent="0.2">
      <c r="B4310" s="9" t="s">
        <v>7704</v>
      </c>
      <c r="C4310" s="15" t="s">
        <v>7704</v>
      </c>
      <c r="D4310" s="12" t="str">
        <f>"0023-2076"</f>
        <v>0023-2076</v>
      </c>
      <c r="E4310" s="5">
        <v>0.105</v>
      </c>
      <c r="F4310" s="5">
        <v>2.1000000000000001E-2</v>
      </c>
    </row>
    <row r="4311" spans="2:6" x14ac:dyDescent="0.2">
      <c r="B4311" s="9" t="s">
        <v>7705</v>
      </c>
      <c r="C4311" s="15" t="s">
        <v>3617</v>
      </c>
      <c r="D4311" s="12" t="str">
        <f>"0023-2165"</f>
        <v>0023-2165</v>
      </c>
      <c r="E4311" s="5">
        <v>0.7</v>
      </c>
      <c r="F4311" s="5">
        <v>1.6E-2</v>
      </c>
    </row>
    <row r="4312" spans="2:6" x14ac:dyDescent="0.2">
      <c r="B4312" s="9" t="s">
        <v>7706</v>
      </c>
      <c r="C4312" s="15" t="s">
        <v>3618</v>
      </c>
      <c r="D4312" s="12" t="str">
        <f>"1434-0275"</f>
        <v>1434-0275</v>
      </c>
      <c r="E4312" s="5">
        <v>0.27</v>
      </c>
      <c r="F4312" s="5">
        <v>7.6999999999999999E-2</v>
      </c>
    </row>
    <row r="4313" spans="2:6" x14ac:dyDescent="0.2">
      <c r="B4313" s="9" t="s">
        <v>7707</v>
      </c>
      <c r="C4313" s="15" t="s">
        <v>3619</v>
      </c>
      <c r="D4313" s="12" t="str">
        <f>"0300-8630"</f>
        <v>0300-8630</v>
      </c>
      <c r="E4313" s="5">
        <v>1.349</v>
      </c>
      <c r="F4313" s="5">
        <v>0.17799999999999999</v>
      </c>
    </row>
    <row r="4314" spans="2:6" x14ac:dyDescent="0.2">
      <c r="B4314" s="9" t="s">
        <v>7708</v>
      </c>
      <c r="C4314" s="15" t="s">
        <v>7708</v>
      </c>
      <c r="D4314" s="12" t="str">
        <f>"0968-0160"</f>
        <v>0968-0160</v>
      </c>
      <c r="E4314" s="5">
        <v>2.1989999999999998</v>
      </c>
      <c r="F4314" s="5">
        <v>0.433</v>
      </c>
    </row>
    <row r="4315" spans="2:6" x14ac:dyDescent="0.2">
      <c r="B4315" s="9" t="s">
        <v>7709</v>
      </c>
      <c r="C4315" s="15" t="s">
        <v>3620</v>
      </c>
      <c r="D4315" s="12" t="str">
        <f>"0942-2056"</f>
        <v>0942-2056</v>
      </c>
      <c r="E4315" s="5">
        <v>4.3419999999999996</v>
      </c>
      <c r="F4315" s="5">
        <v>0.85199999999999998</v>
      </c>
    </row>
    <row r="4316" spans="2:6" x14ac:dyDescent="0.2">
      <c r="B4316" s="9" t="s">
        <v>10868</v>
      </c>
      <c r="C4316" s="15" t="s">
        <v>10869</v>
      </c>
      <c r="D4316" s="12" t="str">
        <f>"1477-8238"</f>
        <v>1477-8238</v>
      </c>
      <c r="E4316" s="5">
        <v>2.7440000000000002</v>
      </c>
      <c r="F4316" s="5">
        <v>0.58799999999999997</v>
      </c>
    </row>
    <row r="4317" spans="2:6" x14ac:dyDescent="0.2">
      <c r="B4317" s="9" t="s">
        <v>623</v>
      </c>
      <c r="C4317" s="15" t="s">
        <v>624</v>
      </c>
      <c r="D4317" s="12" t="str">
        <f>"0943-7444"</f>
        <v>0943-7444</v>
      </c>
      <c r="E4317" s="5">
        <v>1</v>
      </c>
      <c r="F4317" s="5">
        <v>0.25900000000000001</v>
      </c>
    </row>
    <row r="4318" spans="2:6" x14ac:dyDescent="0.2">
      <c r="B4318" s="9" t="s">
        <v>625</v>
      </c>
      <c r="C4318" s="15" t="s">
        <v>626</v>
      </c>
      <c r="D4318" s="12" t="str">
        <f>"0023-2653"</f>
        <v>0023-2653</v>
      </c>
      <c r="E4318" s="5">
        <v>0.81899999999999995</v>
      </c>
      <c r="F4318" s="5">
        <v>0.17399999999999999</v>
      </c>
    </row>
    <row r="4319" spans="2:6" x14ac:dyDescent="0.2">
      <c r="B4319" s="9" t="s">
        <v>10870</v>
      </c>
      <c r="C4319" s="15" t="s">
        <v>10871</v>
      </c>
      <c r="D4319" s="12" t="str">
        <f>"1738-5520"</f>
        <v>1738-5520</v>
      </c>
      <c r="E4319" s="5">
        <v>3.2429999999999999</v>
      </c>
      <c r="F4319" s="5">
        <v>0.53900000000000003</v>
      </c>
    </row>
    <row r="4320" spans="2:6" x14ac:dyDescent="0.2">
      <c r="B4320" s="9" t="s">
        <v>7710</v>
      </c>
      <c r="C4320" s="15" t="s">
        <v>3621</v>
      </c>
      <c r="D4320" s="12" t="str">
        <f>"0256-1115"</f>
        <v>0256-1115</v>
      </c>
      <c r="E4320" s="5">
        <v>3.3090000000000002</v>
      </c>
      <c r="F4320" s="5">
        <v>0.58699999999999997</v>
      </c>
    </row>
    <row r="4321" spans="2:6" x14ac:dyDescent="0.2">
      <c r="B4321" s="9" t="s">
        <v>10872</v>
      </c>
      <c r="C4321" s="15" t="s">
        <v>10873</v>
      </c>
      <c r="D4321" s="12" t="str">
        <f>"1226-3303"</f>
        <v>1226-3303</v>
      </c>
      <c r="E4321" s="5">
        <v>2.8839999999999999</v>
      </c>
      <c r="F4321" s="5">
        <v>0.64700000000000002</v>
      </c>
    </row>
    <row r="4322" spans="2:6" x14ac:dyDescent="0.2">
      <c r="B4322" s="9" t="s">
        <v>10874</v>
      </c>
      <c r="C4322" s="15" t="s">
        <v>10875</v>
      </c>
      <c r="D4322" s="12" t="str">
        <f>"2234-7518"</f>
        <v>2234-7518</v>
      </c>
      <c r="E4322" s="5">
        <v>1.3720000000000001</v>
      </c>
      <c r="F4322" s="5">
        <v>8.7999999999999995E-2</v>
      </c>
    </row>
    <row r="4323" spans="2:6" x14ac:dyDescent="0.2">
      <c r="B4323" s="9" t="s">
        <v>10876</v>
      </c>
      <c r="C4323" s="15" t="s">
        <v>10877</v>
      </c>
      <c r="D4323" s="12" t="str">
        <f>"2005-9159"</f>
        <v>2005-9159</v>
      </c>
      <c r="E4323" s="5">
        <v>3.016</v>
      </c>
      <c r="F4323" s="5">
        <v>0.41799999999999998</v>
      </c>
    </row>
    <row r="4324" spans="2:6" x14ac:dyDescent="0.2">
      <c r="B4324" s="9" t="s">
        <v>10878</v>
      </c>
      <c r="C4324" s="15" t="s">
        <v>10879</v>
      </c>
      <c r="D4324" s="12" t="str">
        <f>"1738-0006"</f>
        <v>1738-0006</v>
      </c>
      <c r="E4324" s="5">
        <v>1.341</v>
      </c>
      <c r="F4324" s="5">
        <v>0.184</v>
      </c>
    </row>
    <row r="4325" spans="2:6" x14ac:dyDescent="0.2">
      <c r="B4325" s="9" t="s">
        <v>10880</v>
      </c>
      <c r="C4325" s="15" t="s">
        <v>10881</v>
      </c>
      <c r="D4325" s="12" t="str">
        <f>"1226-4512"</f>
        <v>1226-4512</v>
      </c>
      <c r="E4325" s="5">
        <v>2.016</v>
      </c>
      <c r="F4325" s="5">
        <v>0.222</v>
      </c>
    </row>
    <row r="4326" spans="2:6" x14ac:dyDescent="0.2">
      <c r="B4326" s="9" t="s">
        <v>7711</v>
      </c>
      <c r="C4326" s="15" t="s">
        <v>3622</v>
      </c>
      <c r="D4326" s="12" t="str">
        <f>"1229-6929"</f>
        <v>1229-6929</v>
      </c>
      <c r="E4326" s="5">
        <v>3.5</v>
      </c>
      <c r="F4326" s="5">
        <v>0.64700000000000002</v>
      </c>
    </row>
    <row r="4327" spans="2:6" x14ac:dyDescent="0.2">
      <c r="B4327" s="9" t="s">
        <v>10882</v>
      </c>
      <c r="C4327" s="15" t="s">
        <v>10883</v>
      </c>
      <c r="D4327" s="12" t="str">
        <f>"2307-4108"</f>
        <v>2307-4108</v>
      </c>
      <c r="E4327" s="5">
        <v>0.94799999999999995</v>
      </c>
      <c r="F4327" s="5">
        <v>0.19400000000000001</v>
      </c>
    </row>
    <row r="4328" spans="2:6" x14ac:dyDescent="0.2">
      <c r="B4328" s="9" t="s">
        <v>10884</v>
      </c>
      <c r="C4328" s="15" t="s">
        <v>10885</v>
      </c>
      <c r="D4328" s="12" t="str">
        <f>"0023-5776"</f>
        <v>0023-5776</v>
      </c>
      <c r="E4328" s="5">
        <v>7.5999999999999998E-2</v>
      </c>
      <c r="F4328" s="5">
        <v>6.0000000000000001E-3</v>
      </c>
    </row>
    <row r="4329" spans="2:6" x14ac:dyDescent="0.2">
      <c r="B4329" s="9" t="s">
        <v>7712</v>
      </c>
      <c r="C4329" s="15" t="s">
        <v>7712</v>
      </c>
      <c r="D4329" s="12" t="str">
        <f>"0093-7355"</f>
        <v>0093-7355</v>
      </c>
      <c r="E4329" s="5">
        <v>12.625</v>
      </c>
      <c r="F4329" s="5">
        <v>1</v>
      </c>
    </row>
    <row r="4330" spans="2:6" x14ac:dyDescent="0.2">
      <c r="B4330" s="9" t="s">
        <v>7713</v>
      </c>
      <c r="C4330" s="15" t="s">
        <v>3623</v>
      </c>
      <c r="D4330" s="12" t="str">
        <f>"0023-6772"</f>
        <v>0023-6772</v>
      </c>
      <c r="E4330" s="5">
        <v>2.4710000000000001</v>
      </c>
      <c r="F4330" s="5">
        <v>0.82199999999999995</v>
      </c>
    </row>
    <row r="4331" spans="2:6" x14ac:dyDescent="0.2">
      <c r="B4331" s="9" t="s">
        <v>7714</v>
      </c>
      <c r="C4331" s="15" t="s">
        <v>3624</v>
      </c>
      <c r="D4331" s="12" t="str">
        <f>"1473-0197"</f>
        <v>1473-0197</v>
      </c>
      <c r="E4331" s="5">
        <v>6.7990000000000004</v>
      </c>
      <c r="F4331" s="5">
        <v>0.93799999999999994</v>
      </c>
    </row>
    <row r="4332" spans="2:6" x14ac:dyDescent="0.2">
      <c r="B4332" s="9" t="s">
        <v>7715</v>
      </c>
      <c r="C4332" s="15" t="s">
        <v>3625</v>
      </c>
      <c r="D4332" s="12" t="str">
        <f>"0023-6837"</f>
        <v>0023-6837</v>
      </c>
      <c r="E4332" s="5">
        <v>5.6619999999999999</v>
      </c>
      <c r="F4332" s="5">
        <v>0.87</v>
      </c>
    </row>
    <row r="4333" spans="2:6" x14ac:dyDescent="0.2">
      <c r="B4333" s="9" t="s">
        <v>10886</v>
      </c>
      <c r="C4333" s="15" t="s">
        <v>10887</v>
      </c>
      <c r="D4333" s="12" t="str">
        <f>"0007-5027"</f>
        <v>0007-5027</v>
      </c>
      <c r="E4333" s="5">
        <v>1.5249999999999999</v>
      </c>
      <c r="F4333" s="5">
        <v>0.24099999999999999</v>
      </c>
    </row>
    <row r="4334" spans="2:6" x14ac:dyDescent="0.2">
      <c r="B4334" s="9" t="s">
        <v>10888</v>
      </c>
      <c r="C4334" s="15" t="s">
        <v>10889</v>
      </c>
      <c r="D4334" s="12" t="str">
        <f>"0023-7213"</f>
        <v>0023-7213</v>
      </c>
      <c r="E4334" s="5">
        <v>0.54800000000000004</v>
      </c>
      <c r="F4334" s="5">
        <v>8.4000000000000005E-2</v>
      </c>
    </row>
    <row r="4335" spans="2:6" x14ac:dyDescent="0.2">
      <c r="B4335" s="9" t="s">
        <v>7716</v>
      </c>
      <c r="C4335" s="15" t="s">
        <v>7716</v>
      </c>
      <c r="D4335" s="12" t="str">
        <f>"0140-6736"</f>
        <v>0140-6736</v>
      </c>
      <c r="E4335" s="5">
        <v>79.320999999999998</v>
      </c>
      <c r="F4335" s="5">
        <v>0.99399999999999999</v>
      </c>
    </row>
    <row r="4336" spans="2:6" x14ac:dyDescent="0.2">
      <c r="B4336" s="9" t="s">
        <v>10890</v>
      </c>
      <c r="C4336" s="15" t="s">
        <v>10891</v>
      </c>
      <c r="D4336" s="12" t="str">
        <f>"2352-4642"</f>
        <v>2352-4642</v>
      </c>
      <c r="E4336" s="5">
        <v>11.288</v>
      </c>
      <c r="F4336" s="5">
        <v>0.99199999999999999</v>
      </c>
    </row>
    <row r="4337" spans="2:6" x14ac:dyDescent="0.2">
      <c r="B4337" s="9" t="s">
        <v>10892</v>
      </c>
      <c r="C4337" s="15" t="s">
        <v>10893</v>
      </c>
      <c r="D4337" s="12" t="str">
        <f>"2213-8587"</f>
        <v>2213-8587</v>
      </c>
      <c r="E4337" s="5">
        <v>32.069000000000003</v>
      </c>
      <c r="F4337" s="5">
        <v>0.99299999999999999</v>
      </c>
    </row>
    <row r="4338" spans="2:6" x14ac:dyDescent="0.2">
      <c r="B4338" s="9" t="s">
        <v>10894</v>
      </c>
      <c r="C4338" s="15" t="s">
        <v>10895</v>
      </c>
      <c r="D4338" s="12" t="str">
        <f>"2468-1253"</f>
        <v>2468-1253</v>
      </c>
      <c r="E4338" s="5">
        <v>18.486000000000001</v>
      </c>
      <c r="F4338" s="5">
        <v>0.95699999999999996</v>
      </c>
    </row>
    <row r="4339" spans="2:6" x14ac:dyDescent="0.2">
      <c r="B4339" s="9" t="s">
        <v>10896</v>
      </c>
      <c r="C4339" s="15" t="s">
        <v>10897</v>
      </c>
      <c r="D4339" s="12" t="str">
        <f>"2214-109X"</f>
        <v>2214-109X</v>
      </c>
      <c r="E4339" s="5">
        <v>26.763000000000002</v>
      </c>
      <c r="F4339" s="5">
        <v>0.99299999999999999</v>
      </c>
    </row>
    <row r="4340" spans="2:6" x14ac:dyDescent="0.2">
      <c r="B4340" s="9" t="s">
        <v>10898</v>
      </c>
      <c r="C4340" s="15" t="s">
        <v>10899</v>
      </c>
      <c r="D4340" s="12" t="str">
        <f>"2352-3026"</f>
        <v>2352-3026</v>
      </c>
      <c r="E4340" s="5">
        <v>18.959</v>
      </c>
      <c r="F4340" s="5">
        <v>0.98699999999999999</v>
      </c>
    </row>
    <row r="4341" spans="2:6" x14ac:dyDescent="0.2">
      <c r="B4341" s="9" t="s">
        <v>10900</v>
      </c>
      <c r="C4341" s="15" t="s">
        <v>10901</v>
      </c>
      <c r="D4341" s="12" t="str">
        <f>"2352-3018"</f>
        <v>2352-3018</v>
      </c>
      <c r="E4341" s="5">
        <v>12.766999999999999</v>
      </c>
      <c r="F4341" s="5">
        <v>0.98899999999999999</v>
      </c>
    </row>
    <row r="4342" spans="2:6" x14ac:dyDescent="0.2">
      <c r="B4342" s="9" t="s">
        <v>7717</v>
      </c>
      <c r="C4342" s="15" t="s">
        <v>3626</v>
      </c>
      <c r="D4342" s="12" t="str">
        <f>"1473-3099"</f>
        <v>1473-3099</v>
      </c>
      <c r="E4342" s="5">
        <v>25.071000000000002</v>
      </c>
      <c r="F4342" s="5">
        <v>1</v>
      </c>
    </row>
    <row r="4343" spans="2:6" x14ac:dyDescent="0.2">
      <c r="B4343" s="9" t="s">
        <v>7718</v>
      </c>
      <c r="C4343" s="15" t="s">
        <v>3627</v>
      </c>
      <c r="D4343" s="12" t="str">
        <f>"1474-4422"</f>
        <v>1474-4422</v>
      </c>
      <c r="E4343" s="5">
        <v>44.182000000000002</v>
      </c>
      <c r="F4343" s="5">
        <v>1</v>
      </c>
    </row>
    <row r="4344" spans="2:6" x14ac:dyDescent="0.2">
      <c r="B4344" s="9" t="s">
        <v>7719</v>
      </c>
      <c r="C4344" s="15" t="s">
        <v>3628</v>
      </c>
      <c r="D4344" s="12" t="str">
        <f>"1470-2045"</f>
        <v>1470-2045</v>
      </c>
      <c r="E4344" s="5">
        <v>41.316000000000003</v>
      </c>
      <c r="F4344" s="5">
        <v>0.98299999999999998</v>
      </c>
    </row>
    <row r="4345" spans="2:6" x14ac:dyDescent="0.2">
      <c r="B4345" s="9" t="s">
        <v>10902</v>
      </c>
      <c r="C4345" s="15" t="s">
        <v>10903</v>
      </c>
      <c r="D4345" s="12" t="str">
        <f>"2542-5196"</f>
        <v>2542-5196</v>
      </c>
      <c r="E4345" s="5">
        <v>19.172999999999998</v>
      </c>
      <c r="F4345" s="5">
        <v>0.98899999999999999</v>
      </c>
    </row>
    <row r="4346" spans="2:6" x14ac:dyDescent="0.2">
      <c r="B4346" s="9" t="s">
        <v>10904</v>
      </c>
      <c r="C4346" s="15" t="s">
        <v>10905</v>
      </c>
      <c r="D4346" s="12" t="str">
        <f>"2215-0374"</f>
        <v>2215-0374</v>
      </c>
      <c r="E4346" s="5">
        <v>27.082999999999998</v>
      </c>
      <c r="F4346" s="5">
        <v>0.995</v>
      </c>
    </row>
    <row r="4347" spans="2:6" x14ac:dyDescent="0.2">
      <c r="B4347" s="9" t="s">
        <v>10906</v>
      </c>
      <c r="C4347" s="15" t="s">
        <v>10907</v>
      </c>
      <c r="D4347" s="12" t="str">
        <f>"2468-2667"</f>
        <v>2468-2667</v>
      </c>
      <c r="E4347" s="5">
        <v>21.648</v>
      </c>
      <c r="F4347" s="5">
        <v>0.98599999999999999</v>
      </c>
    </row>
    <row r="4348" spans="2:6" x14ac:dyDescent="0.2">
      <c r="B4348" s="9" t="s">
        <v>10908</v>
      </c>
      <c r="C4348" s="15" t="s">
        <v>10909</v>
      </c>
      <c r="D4348" s="12" t="str">
        <f>"2213-2600"</f>
        <v>2213-2600</v>
      </c>
      <c r="E4348" s="5">
        <v>30.7</v>
      </c>
      <c r="F4348" s="5">
        <v>1</v>
      </c>
    </row>
    <row r="4349" spans="2:6" x14ac:dyDescent="0.2">
      <c r="B4349" s="9" t="s">
        <v>10910</v>
      </c>
      <c r="C4349" s="15" t="s">
        <v>10911</v>
      </c>
      <c r="D4349" s="12" t="str">
        <f>"2665-9913"</f>
        <v>2665-9913</v>
      </c>
      <c r="E4349" s="5">
        <v>8.1359999999999992</v>
      </c>
      <c r="F4349" s="5">
        <v>0.91200000000000003</v>
      </c>
    </row>
    <row r="4350" spans="2:6" x14ac:dyDescent="0.2">
      <c r="B4350" s="9" t="s">
        <v>10912</v>
      </c>
      <c r="C4350" s="15" t="s">
        <v>10913</v>
      </c>
      <c r="D4350" s="12" t="str">
        <f>"1543-4303"</f>
        <v>1543-4303</v>
      </c>
      <c r="E4350" s="5">
        <v>1.667</v>
      </c>
      <c r="F4350" s="5">
        <v>0.66100000000000003</v>
      </c>
    </row>
    <row r="4351" spans="2:6" x14ac:dyDescent="0.2">
      <c r="B4351" s="9" t="s">
        <v>10914</v>
      </c>
      <c r="C4351" s="15" t="s">
        <v>10915</v>
      </c>
      <c r="D4351" s="12" t="str">
        <f>"1866-9808"</f>
        <v>1866-9808</v>
      </c>
      <c r="E4351" s="5">
        <v>1.83</v>
      </c>
      <c r="F4351" s="5">
        <v>0.71899999999999997</v>
      </c>
    </row>
    <row r="4352" spans="2:6" x14ac:dyDescent="0.2">
      <c r="B4352" s="9" t="s">
        <v>10916</v>
      </c>
      <c r="C4352" s="15" t="s">
        <v>10917</v>
      </c>
      <c r="D4352" s="12" t="str">
        <f>"2327-3798"</f>
        <v>2327-3798</v>
      </c>
      <c r="E4352" s="5">
        <v>2.331</v>
      </c>
      <c r="F4352" s="5">
        <v>0.81799999999999995</v>
      </c>
    </row>
    <row r="4353" spans="2:6" x14ac:dyDescent="0.2">
      <c r="B4353" s="9" t="s">
        <v>7720</v>
      </c>
      <c r="C4353" s="15" t="s">
        <v>3629</v>
      </c>
      <c r="D4353" s="12" t="str">
        <f>"1435-2443"</f>
        <v>1435-2443</v>
      </c>
      <c r="E4353" s="5">
        <v>3.4449999999999998</v>
      </c>
      <c r="F4353" s="5">
        <v>0.71</v>
      </c>
    </row>
    <row r="4354" spans="2:6" x14ac:dyDescent="0.2">
      <c r="B4354" s="9" t="s">
        <v>10918</v>
      </c>
      <c r="C4354" s="15" t="s">
        <v>10919</v>
      </c>
      <c r="D4354" s="12" t="str">
        <f>"1547-5441"</f>
        <v>1547-5441</v>
      </c>
      <c r="E4354" s="5">
        <v>1</v>
      </c>
      <c r="F4354" s="5">
        <v>0.438</v>
      </c>
    </row>
    <row r="4355" spans="2:6" x14ac:dyDescent="0.2">
      <c r="B4355" s="9" t="s">
        <v>633</v>
      </c>
      <c r="C4355" s="15" t="s">
        <v>633</v>
      </c>
      <c r="D4355" s="12" t="str">
        <f>"0743-7463"</f>
        <v>0743-7463</v>
      </c>
      <c r="E4355" s="5">
        <v>3.8820000000000001</v>
      </c>
      <c r="F4355" s="5">
        <v>0.61199999999999999</v>
      </c>
    </row>
    <row r="4356" spans="2:6" x14ac:dyDescent="0.2">
      <c r="B4356" s="9" t="s">
        <v>627</v>
      </c>
      <c r="C4356" s="15" t="s">
        <v>628</v>
      </c>
      <c r="D4356" s="12" t="str">
        <f>"1574-020X"</f>
        <v>1574-020X</v>
      </c>
      <c r="E4356" s="5">
        <v>1.3580000000000001</v>
      </c>
      <c r="F4356" s="5">
        <v>0.126</v>
      </c>
    </row>
    <row r="4357" spans="2:6" x14ac:dyDescent="0.2">
      <c r="B4357" s="9" t="s">
        <v>629</v>
      </c>
      <c r="C4357" s="15" t="s">
        <v>630</v>
      </c>
      <c r="D4357" s="12" t="str">
        <f>"0023-8309"</f>
        <v>0023-8309</v>
      </c>
      <c r="E4357" s="5">
        <v>1.5</v>
      </c>
      <c r="F4357" s="5">
        <v>0.60899999999999999</v>
      </c>
    </row>
    <row r="4358" spans="2:6" x14ac:dyDescent="0.2">
      <c r="B4358" s="9" t="s">
        <v>631</v>
      </c>
      <c r="C4358" s="15" t="s">
        <v>632</v>
      </c>
      <c r="D4358" s="12" t="str">
        <f>"0161-1461"</f>
        <v>0161-1461</v>
      </c>
      <c r="E4358" s="5">
        <v>2.9830000000000001</v>
      </c>
      <c r="F4358" s="5">
        <v>0.90100000000000002</v>
      </c>
    </row>
    <row r="4359" spans="2:6" x14ac:dyDescent="0.2">
      <c r="B4359" s="9" t="s">
        <v>7721</v>
      </c>
      <c r="C4359" s="15" t="s">
        <v>3630</v>
      </c>
      <c r="D4359" s="12" t="str">
        <f>"0935-8943"</f>
        <v>0935-8943</v>
      </c>
      <c r="E4359" s="5">
        <v>1.0569999999999999</v>
      </c>
      <c r="F4359" s="5">
        <v>0.114</v>
      </c>
    </row>
    <row r="4360" spans="2:6" x14ac:dyDescent="0.2">
      <c r="B4360" s="9" t="s">
        <v>7722</v>
      </c>
      <c r="C4360" s="15" t="s">
        <v>7722</v>
      </c>
      <c r="D4360" s="12" t="str">
        <f>"0023-852X"</f>
        <v>0023-852X</v>
      </c>
      <c r="E4360" s="5">
        <v>3.3250000000000002</v>
      </c>
      <c r="F4360" s="5">
        <v>0.81799999999999995</v>
      </c>
    </row>
    <row r="4361" spans="2:6" x14ac:dyDescent="0.2">
      <c r="B4361" s="9" t="s">
        <v>10920</v>
      </c>
      <c r="C4361" s="15" t="s">
        <v>10921</v>
      </c>
      <c r="D4361" s="12" t="str">
        <f>"2378-8038"</f>
        <v>2378-8038</v>
      </c>
      <c r="E4361" s="5">
        <v>2.4580000000000002</v>
      </c>
      <c r="F4361" s="5">
        <v>0.63600000000000001</v>
      </c>
    </row>
    <row r="4362" spans="2:6" x14ac:dyDescent="0.2">
      <c r="B4362" s="9" t="s">
        <v>7723</v>
      </c>
      <c r="C4362" s="15" t="s">
        <v>3631</v>
      </c>
      <c r="D4362" s="12" t="str">
        <f>"0898-1507"</f>
        <v>0898-1507</v>
      </c>
      <c r="E4362" s="5">
        <v>0.66500000000000004</v>
      </c>
      <c r="F4362" s="5">
        <v>0.10100000000000001</v>
      </c>
    </row>
    <row r="4363" spans="2:6" x14ac:dyDescent="0.2">
      <c r="B4363" s="9" t="s">
        <v>7724</v>
      </c>
      <c r="C4363" s="15" t="s">
        <v>7724</v>
      </c>
      <c r="D4363" s="12" t="str">
        <f>"1043-8092"</f>
        <v>1043-8092</v>
      </c>
      <c r="E4363" s="5">
        <v>0.108</v>
      </c>
      <c r="F4363" s="5">
        <v>0.01</v>
      </c>
    </row>
    <row r="4364" spans="2:6" x14ac:dyDescent="0.2">
      <c r="B4364" s="9" t="s">
        <v>7725</v>
      </c>
      <c r="C4364" s="15" t="s">
        <v>3632</v>
      </c>
      <c r="D4364" s="12" t="str">
        <f>"0268-8921"</f>
        <v>0268-8921</v>
      </c>
      <c r="E4364" s="5">
        <v>3.161</v>
      </c>
      <c r="F4364" s="5">
        <v>0.67100000000000004</v>
      </c>
    </row>
    <row r="4365" spans="2:6" x14ac:dyDescent="0.2">
      <c r="B4365" s="9" t="s">
        <v>10922</v>
      </c>
      <c r="C4365" s="15" t="s">
        <v>10923</v>
      </c>
      <c r="D4365" s="12" t="str">
        <f>"1863-8880"</f>
        <v>1863-8880</v>
      </c>
      <c r="E4365" s="5">
        <v>13.138</v>
      </c>
      <c r="F4365" s="5">
        <v>0.97</v>
      </c>
    </row>
    <row r="4366" spans="2:6" x14ac:dyDescent="0.2">
      <c r="B4366" s="9" t="s">
        <v>7726</v>
      </c>
      <c r="C4366" s="15" t="s">
        <v>3633</v>
      </c>
      <c r="D4366" s="12" t="str">
        <f>"1054-660X"</f>
        <v>1054-660X</v>
      </c>
      <c r="E4366" s="5">
        <v>1.3660000000000001</v>
      </c>
      <c r="F4366" s="5">
        <v>0.222</v>
      </c>
    </row>
    <row r="4367" spans="2:6" x14ac:dyDescent="0.2">
      <c r="B4367" s="9" t="s">
        <v>10924</v>
      </c>
      <c r="C4367" s="15" t="s">
        <v>10925</v>
      </c>
      <c r="D4367" s="12" t="str">
        <f>"1612-2011"</f>
        <v>1612-2011</v>
      </c>
      <c r="E4367" s="5">
        <v>2.016</v>
      </c>
      <c r="F4367" s="5">
        <v>0.40400000000000003</v>
      </c>
    </row>
    <row r="4368" spans="2:6" x14ac:dyDescent="0.2">
      <c r="B4368" s="9" t="s">
        <v>7727</v>
      </c>
      <c r="C4368" s="15" t="s">
        <v>3634</v>
      </c>
      <c r="D4368" s="12" t="str">
        <f>"0196-8092"</f>
        <v>0196-8092</v>
      </c>
      <c r="E4368" s="5">
        <v>4.0250000000000004</v>
      </c>
      <c r="F4368" s="5">
        <v>0.79500000000000004</v>
      </c>
    </row>
    <row r="4369" spans="2:6" x14ac:dyDescent="0.2">
      <c r="B4369" s="9" t="s">
        <v>634</v>
      </c>
      <c r="C4369" s="15" t="s">
        <v>635</v>
      </c>
      <c r="D4369" s="12" t="str">
        <f>"0326-2383"</f>
        <v>0326-2383</v>
      </c>
      <c r="E4369" s="5">
        <v>0.249</v>
      </c>
      <c r="F4369" s="5">
        <v>1.0999999999999999E-2</v>
      </c>
    </row>
    <row r="4370" spans="2:6" x14ac:dyDescent="0.2">
      <c r="B4370" s="9" t="s">
        <v>10926</v>
      </c>
      <c r="C4370" s="15" t="s">
        <v>10927</v>
      </c>
      <c r="D4370" s="12" t="str">
        <f>"1679-7825"</f>
        <v>1679-7825</v>
      </c>
      <c r="E4370" s="5">
        <v>1.2450000000000001</v>
      </c>
      <c r="F4370" s="5">
        <v>0.17599999999999999</v>
      </c>
    </row>
    <row r="4371" spans="2:6" x14ac:dyDescent="0.2">
      <c r="B4371" s="9" t="s">
        <v>636</v>
      </c>
      <c r="C4371" s="15" t="s">
        <v>636</v>
      </c>
      <c r="D4371" s="12" t="str">
        <f>"1357-650X"</f>
        <v>1357-650X</v>
      </c>
      <c r="E4371" s="5">
        <v>1.8160000000000001</v>
      </c>
      <c r="F4371" s="5">
        <v>0.41</v>
      </c>
    </row>
    <row r="4372" spans="2:6" x14ac:dyDescent="0.2">
      <c r="B4372" s="9" t="s">
        <v>637</v>
      </c>
      <c r="C4372" s="15" t="s">
        <v>638</v>
      </c>
      <c r="D4372" s="12" t="str">
        <f>"0147-7307"</f>
        <v>0147-7307</v>
      </c>
      <c r="E4372" s="5">
        <v>3.7949999999999999</v>
      </c>
      <c r="F4372" s="5">
        <v>0.96699999999999997</v>
      </c>
    </row>
    <row r="4373" spans="2:6" x14ac:dyDescent="0.2">
      <c r="B4373" s="9" t="s">
        <v>639</v>
      </c>
      <c r="C4373" s="15" t="s">
        <v>640</v>
      </c>
      <c r="D4373" s="12" t="str">
        <f>"0023-9283"</f>
        <v>0023-9283</v>
      </c>
      <c r="E4373" s="5">
        <v>0.25800000000000001</v>
      </c>
      <c r="F4373" s="5">
        <v>7.0999999999999994E-2</v>
      </c>
    </row>
    <row r="4374" spans="2:6" x14ac:dyDescent="0.2">
      <c r="B4374" s="9" t="s">
        <v>10928</v>
      </c>
      <c r="C4374" s="15" t="s">
        <v>10929</v>
      </c>
      <c r="D4374" s="12" t="str">
        <f>"1470-8396"</f>
        <v>1470-8396</v>
      </c>
      <c r="E4374" s="5">
        <v>1.0589999999999999</v>
      </c>
      <c r="F4374" s="5">
        <v>0.58199999999999996</v>
      </c>
    </row>
    <row r="4375" spans="2:6" x14ac:dyDescent="0.2">
      <c r="B4375" s="9" t="s">
        <v>641</v>
      </c>
      <c r="C4375" s="15" t="s">
        <v>642</v>
      </c>
      <c r="D4375" s="12" t="str">
        <f>"1048-9843"</f>
        <v>1048-9843</v>
      </c>
      <c r="E4375" s="5">
        <v>10.516999999999999</v>
      </c>
      <c r="F4375" s="5">
        <v>0.96399999999999997</v>
      </c>
    </row>
    <row r="4376" spans="2:6" x14ac:dyDescent="0.2">
      <c r="B4376" s="9" t="s">
        <v>643</v>
      </c>
      <c r="C4376" s="15" t="s">
        <v>644</v>
      </c>
      <c r="D4376" s="12" t="str">
        <f>"1543-4494"</f>
        <v>1543-4494</v>
      </c>
      <c r="E4376" s="5">
        <v>1.986</v>
      </c>
      <c r="F4376" s="5">
        <v>0.68400000000000005</v>
      </c>
    </row>
    <row r="4377" spans="2:6" x14ac:dyDescent="0.2">
      <c r="B4377" s="9" t="s">
        <v>645</v>
      </c>
      <c r="C4377" s="15" t="s">
        <v>646</v>
      </c>
      <c r="D4377" s="12" t="str">
        <f>"0731-9487"</f>
        <v>0731-9487</v>
      </c>
      <c r="E4377" s="5">
        <v>1.865</v>
      </c>
      <c r="F4377" s="5">
        <v>0.36399999999999999</v>
      </c>
    </row>
    <row r="4378" spans="2:6" x14ac:dyDescent="0.2">
      <c r="B4378" s="9" t="s">
        <v>10930</v>
      </c>
      <c r="C4378" s="15" t="s">
        <v>10931</v>
      </c>
      <c r="D4378" s="12" t="str">
        <f>"0938-8982"</f>
        <v>0938-8982</v>
      </c>
      <c r="E4378" s="5">
        <v>2.8610000000000002</v>
      </c>
      <c r="F4378" s="5">
        <v>0.81799999999999995</v>
      </c>
    </row>
    <row r="4379" spans="2:6" x14ac:dyDescent="0.2">
      <c r="B4379" s="9" t="s">
        <v>647</v>
      </c>
      <c r="C4379" s="15" t="s">
        <v>648</v>
      </c>
      <c r="D4379" s="12" t="str">
        <f>"1041-6080"</f>
        <v>1041-6080</v>
      </c>
      <c r="E4379" s="5">
        <v>3.1389999999999998</v>
      </c>
      <c r="F4379" s="5">
        <v>0.71699999999999997</v>
      </c>
    </row>
    <row r="4380" spans="2:6" x14ac:dyDescent="0.2">
      <c r="B4380" s="9" t="s">
        <v>649</v>
      </c>
      <c r="C4380" s="15" t="s">
        <v>650</v>
      </c>
      <c r="D4380" s="12" t="str">
        <f>"0959-4752"</f>
        <v>0959-4752</v>
      </c>
      <c r="E4380" s="5">
        <v>5.1459999999999999</v>
      </c>
      <c r="F4380" s="5">
        <v>0.95099999999999996</v>
      </c>
    </row>
    <row r="4381" spans="2:6" x14ac:dyDescent="0.2">
      <c r="B4381" s="9" t="s">
        <v>7728</v>
      </c>
      <c r="C4381" s="15" t="s">
        <v>3635</v>
      </c>
      <c r="D4381" s="12" t="str">
        <f>"1072-0502"</f>
        <v>1072-0502</v>
      </c>
      <c r="E4381" s="5">
        <v>2.46</v>
      </c>
      <c r="F4381" s="5">
        <v>0.26</v>
      </c>
    </row>
    <row r="4382" spans="2:6" x14ac:dyDescent="0.2">
      <c r="B4382" s="9" t="s">
        <v>651</v>
      </c>
      <c r="C4382" s="15" t="s">
        <v>652</v>
      </c>
      <c r="D4382" s="12" t="str">
        <f>"0023-9690"</f>
        <v>0023-9690</v>
      </c>
      <c r="E4382" s="5">
        <v>1.82</v>
      </c>
      <c r="F4382" s="5">
        <v>0.28599999999999998</v>
      </c>
    </row>
    <row r="4383" spans="2:6" x14ac:dyDescent="0.2">
      <c r="B4383" s="9" t="s">
        <v>653</v>
      </c>
      <c r="C4383" s="15" t="s">
        <v>654</v>
      </c>
      <c r="D4383" s="12" t="str">
        <f>"0953-1513"</f>
        <v>0953-1513</v>
      </c>
      <c r="E4383" s="5">
        <v>2.5059999999999998</v>
      </c>
      <c r="F4383" s="5">
        <v>0.54100000000000004</v>
      </c>
    </row>
    <row r="4384" spans="2:6" x14ac:dyDescent="0.2">
      <c r="B4384" s="9" t="s">
        <v>655</v>
      </c>
      <c r="C4384" s="15" t="s">
        <v>656</v>
      </c>
      <c r="D4384" s="12" t="str">
        <f>"1355-3259"</f>
        <v>1355-3259</v>
      </c>
      <c r="E4384" s="5">
        <v>2.7429999999999999</v>
      </c>
      <c r="F4384" s="5">
        <v>0.88700000000000001</v>
      </c>
    </row>
    <row r="4385" spans="2:6" x14ac:dyDescent="0.2">
      <c r="B4385" s="9" t="s">
        <v>10932</v>
      </c>
      <c r="C4385" s="15" t="s">
        <v>10933</v>
      </c>
      <c r="D4385" s="12" t="str">
        <f>"1344-6223"</f>
        <v>1344-6223</v>
      </c>
      <c r="E4385" s="5">
        <v>1.3759999999999999</v>
      </c>
      <c r="F4385" s="5">
        <v>0.41199999999999998</v>
      </c>
    </row>
    <row r="4386" spans="2:6" x14ac:dyDescent="0.2">
      <c r="B4386" s="9" t="s">
        <v>7729</v>
      </c>
      <c r="C4386" s="15" t="s">
        <v>3636</v>
      </c>
      <c r="D4386" s="12" t="str">
        <f>"0305-7518"</f>
        <v>0305-7518</v>
      </c>
      <c r="E4386" s="5">
        <v>0.53700000000000003</v>
      </c>
      <c r="F4386" s="5">
        <v>8.6999999999999994E-2</v>
      </c>
    </row>
    <row r="4387" spans="2:6" x14ac:dyDescent="0.2">
      <c r="B4387" s="9" t="s">
        <v>7730</v>
      </c>
      <c r="C4387" s="15" t="s">
        <v>3637</v>
      </c>
      <c r="D4387" s="12" t="str">
        <f>"0266-8254"</f>
        <v>0266-8254</v>
      </c>
      <c r="E4387" s="5">
        <v>2.8580000000000001</v>
      </c>
      <c r="F4387" s="5">
        <v>0.42399999999999999</v>
      </c>
    </row>
    <row r="4388" spans="2:6" x14ac:dyDescent="0.2">
      <c r="B4388" s="9" t="s">
        <v>657</v>
      </c>
      <c r="C4388" s="15" t="s">
        <v>658</v>
      </c>
      <c r="D4388" s="12" t="str">
        <f>"1570-1808"</f>
        <v>1570-1808</v>
      </c>
      <c r="E4388" s="5">
        <v>1.1499999999999999</v>
      </c>
      <c r="F4388" s="5">
        <v>9.7000000000000003E-2</v>
      </c>
    </row>
    <row r="4389" spans="2:6" x14ac:dyDescent="0.2">
      <c r="B4389" s="9" t="s">
        <v>7731</v>
      </c>
      <c r="C4389" s="15" t="s">
        <v>3638</v>
      </c>
      <c r="D4389" s="12" t="str">
        <f>"1570-1786"</f>
        <v>1570-1786</v>
      </c>
      <c r="E4389" s="5">
        <v>0.86699999999999999</v>
      </c>
      <c r="F4389" s="5">
        <v>0.14000000000000001</v>
      </c>
    </row>
    <row r="4390" spans="2:6" x14ac:dyDescent="0.2">
      <c r="B4390" s="9" t="s">
        <v>7732</v>
      </c>
      <c r="C4390" s="15" t="s">
        <v>7732</v>
      </c>
      <c r="D4390" s="12" t="str">
        <f>"0887-6924"</f>
        <v>0887-6924</v>
      </c>
      <c r="E4390" s="5">
        <v>11.528</v>
      </c>
      <c r="F4390" s="5">
        <v>0.94699999999999995</v>
      </c>
    </row>
    <row r="4391" spans="2:6" x14ac:dyDescent="0.2">
      <c r="B4391" s="9" t="s">
        <v>7733</v>
      </c>
      <c r="C4391" s="15" t="s">
        <v>3639</v>
      </c>
      <c r="D4391" s="12" t="str">
        <f>"1042-8194"</f>
        <v>1042-8194</v>
      </c>
      <c r="E4391" s="5">
        <v>3.28</v>
      </c>
      <c r="F4391" s="5">
        <v>0.5</v>
      </c>
    </row>
    <row r="4392" spans="2:6" x14ac:dyDescent="0.2">
      <c r="B4392" s="9" t="s">
        <v>7734</v>
      </c>
      <c r="C4392" s="15" t="s">
        <v>3640</v>
      </c>
      <c r="D4392" s="12" t="str">
        <f>"0145-2126"</f>
        <v>0145-2126</v>
      </c>
      <c r="E4392" s="5">
        <v>3.1560000000000001</v>
      </c>
      <c r="F4392" s="5">
        <v>0.434</v>
      </c>
    </row>
    <row r="4393" spans="2:6" x14ac:dyDescent="0.2">
      <c r="B4393" s="9" t="s">
        <v>7735</v>
      </c>
      <c r="C4393" s="15" t="s">
        <v>3641</v>
      </c>
      <c r="D4393" s="12" t="str">
        <f>"1550-2724"</f>
        <v>1550-2724</v>
      </c>
      <c r="E4393" s="5">
        <v>3.3889999999999998</v>
      </c>
      <c r="F4393" s="5">
        <v>0.73699999999999999</v>
      </c>
    </row>
    <row r="4394" spans="2:6" x14ac:dyDescent="0.2">
      <c r="B4394" s="9" t="s">
        <v>10934</v>
      </c>
      <c r="C4394" s="15" t="s">
        <v>10935</v>
      </c>
      <c r="D4394" s="12" t="str">
        <f>"2325-8292"</f>
        <v>2325-8292</v>
      </c>
      <c r="E4394" s="5">
        <v>4.1509999999999998</v>
      </c>
      <c r="F4394" s="5">
        <v>0.81899999999999995</v>
      </c>
    </row>
    <row r="4395" spans="2:6" x14ac:dyDescent="0.2">
      <c r="B4395" s="9" t="s">
        <v>10936</v>
      </c>
      <c r="C4395" s="15" t="s">
        <v>10937</v>
      </c>
      <c r="D4395" s="12" t="str">
        <f>"0737-8831"</f>
        <v>0737-8831</v>
      </c>
      <c r="E4395" s="5">
        <v>2.3570000000000002</v>
      </c>
      <c r="F4395" s="5">
        <v>0.51800000000000002</v>
      </c>
    </row>
    <row r="4396" spans="2:6" x14ac:dyDescent="0.2">
      <c r="B4396" s="9" t="s">
        <v>671</v>
      </c>
      <c r="C4396" s="15" t="s">
        <v>10938</v>
      </c>
      <c r="D4396" s="12" t="str">
        <f>"0024-2667"</f>
        <v>0024-2667</v>
      </c>
      <c r="E4396" s="5">
        <v>0.52100000000000002</v>
      </c>
      <c r="F4396" s="5">
        <v>0.153</v>
      </c>
    </row>
    <row r="4397" spans="2:6" x14ac:dyDescent="0.2">
      <c r="B4397" s="9" t="s">
        <v>659</v>
      </c>
      <c r="C4397" s="15" t="s">
        <v>660</v>
      </c>
      <c r="D4397" s="12" t="str">
        <f>"0373-4447"</f>
        <v>0373-4447</v>
      </c>
      <c r="E4397" s="5">
        <v>1.333</v>
      </c>
      <c r="F4397" s="5">
        <v>0.32900000000000001</v>
      </c>
    </row>
    <row r="4398" spans="2:6" x14ac:dyDescent="0.2">
      <c r="B4398" s="9" t="s">
        <v>661</v>
      </c>
      <c r="C4398" s="15" t="s">
        <v>662</v>
      </c>
      <c r="D4398" s="12" t="str">
        <f>"0740-8188"</f>
        <v>0740-8188</v>
      </c>
      <c r="E4398" s="5">
        <v>2.73</v>
      </c>
      <c r="F4398" s="5">
        <v>0.57599999999999996</v>
      </c>
    </row>
    <row r="4399" spans="2:6" x14ac:dyDescent="0.2">
      <c r="B4399" s="9" t="s">
        <v>663</v>
      </c>
      <c r="C4399" s="15" t="s">
        <v>664</v>
      </c>
      <c r="D4399" s="12" t="str">
        <f>"0363-0277"</f>
        <v>0363-0277</v>
      </c>
      <c r="E4399" s="5">
        <v>0.38600000000000001</v>
      </c>
      <c r="F4399" s="5">
        <v>0.11799999999999999</v>
      </c>
    </row>
    <row r="4400" spans="2:6" x14ac:dyDescent="0.2">
      <c r="B4400" s="9" t="s">
        <v>665</v>
      </c>
      <c r="C4400" s="15" t="s">
        <v>666</v>
      </c>
      <c r="D4400" s="12" t="str">
        <f>"0024-2519"</f>
        <v>0024-2519</v>
      </c>
      <c r="E4400" s="5">
        <v>1.895</v>
      </c>
      <c r="F4400" s="5">
        <v>0.435</v>
      </c>
    </row>
    <row r="4401" spans="2:6" x14ac:dyDescent="0.2">
      <c r="B4401" s="9" t="s">
        <v>667</v>
      </c>
      <c r="C4401" s="15" t="s">
        <v>668</v>
      </c>
      <c r="D4401" s="12" t="str">
        <f>"0024-2527"</f>
        <v>0024-2527</v>
      </c>
      <c r="E4401" s="5">
        <v>0.42399999999999999</v>
      </c>
      <c r="F4401" s="5">
        <v>0.129</v>
      </c>
    </row>
    <row r="4402" spans="2:6" x14ac:dyDescent="0.2">
      <c r="B4402" s="9" t="s">
        <v>669</v>
      </c>
      <c r="C4402" s="15" t="s">
        <v>670</v>
      </c>
      <c r="D4402" s="12" t="str">
        <f>"0024-2594"</f>
        <v>0024-2594</v>
      </c>
      <c r="E4402" s="5">
        <v>1.3109999999999999</v>
      </c>
      <c r="F4402" s="5">
        <v>0.318</v>
      </c>
    </row>
    <row r="4403" spans="2:6" x14ac:dyDescent="0.2">
      <c r="B4403" s="9" t="s">
        <v>10939</v>
      </c>
      <c r="C4403" s="15" t="s">
        <v>10940</v>
      </c>
      <c r="D4403" s="12" t="str">
        <f>"1993-2820"</f>
        <v>1993-2820</v>
      </c>
      <c r="E4403" s="5">
        <v>1.657</v>
      </c>
      <c r="F4403" s="5">
        <v>0.36499999999999999</v>
      </c>
    </row>
    <row r="4404" spans="2:6" x14ac:dyDescent="0.2">
      <c r="B4404" s="9" t="s">
        <v>7736</v>
      </c>
      <c r="C4404" s="15" t="s">
        <v>7736</v>
      </c>
      <c r="D4404" s="12" t="str">
        <f>"0024-2829"</f>
        <v>0024-2829</v>
      </c>
      <c r="E4404" s="5">
        <v>1.514</v>
      </c>
      <c r="F4404" s="5">
        <v>0.37</v>
      </c>
    </row>
    <row r="4405" spans="2:6" x14ac:dyDescent="0.2">
      <c r="B4405" s="9" t="s">
        <v>10941</v>
      </c>
      <c r="C4405" s="15" t="s">
        <v>10942</v>
      </c>
      <c r="D4405" s="12" t="str">
        <f>"2075-1729"</f>
        <v>2075-1729</v>
      </c>
      <c r="E4405" s="5">
        <v>3.8170000000000002</v>
      </c>
      <c r="F4405" s="5">
        <v>0.72</v>
      </c>
    </row>
    <row r="4406" spans="2:6" x14ac:dyDescent="0.2">
      <c r="B4406" s="9" t="s">
        <v>7737</v>
      </c>
      <c r="C4406" s="15" t="s">
        <v>3642</v>
      </c>
      <c r="D4406" s="12" t="str">
        <f>"0024-3205"</f>
        <v>0024-3205</v>
      </c>
      <c r="E4406" s="5">
        <v>5.0369999999999999</v>
      </c>
      <c r="F4406" s="5">
        <v>0.76700000000000002</v>
      </c>
    </row>
    <row r="4407" spans="2:6" x14ac:dyDescent="0.2">
      <c r="B4407" s="9" t="s">
        <v>10943</v>
      </c>
      <c r="C4407" s="15" t="s">
        <v>10944</v>
      </c>
      <c r="D4407" s="12" t="str">
        <f>"2575-1077"</f>
        <v>2575-1077</v>
      </c>
      <c r="E4407" s="5">
        <v>4.5910000000000002</v>
      </c>
      <c r="F4407" s="5">
        <v>0.81699999999999995</v>
      </c>
    </row>
    <row r="4408" spans="2:6" x14ac:dyDescent="0.2">
      <c r="B4408" s="9" t="s">
        <v>10945</v>
      </c>
      <c r="C4408" s="15" t="s">
        <v>10946</v>
      </c>
      <c r="D4408" s="12" t="str">
        <f>"2214-5524"</f>
        <v>2214-5524</v>
      </c>
      <c r="E4408" s="5">
        <v>2.0819999999999999</v>
      </c>
      <c r="F4408" s="5">
        <v>0.47099999999999997</v>
      </c>
    </row>
    <row r="4409" spans="2:6" x14ac:dyDescent="0.2">
      <c r="B4409" s="9" t="s">
        <v>10947</v>
      </c>
      <c r="C4409" s="15" t="s">
        <v>10948</v>
      </c>
      <c r="D4409" s="12" t="str">
        <f>"2504-3161"</f>
        <v>2504-3161</v>
      </c>
      <c r="E4409" s="5">
        <v>2.0830000000000002</v>
      </c>
      <c r="F4409" s="5">
        <v>0.24</v>
      </c>
    </row>
    <row r="4410" spans="2:6" x14ac:dyDescent="0.2">
      <c r="B4410" s="9" t="s">
        <v>7738</v>
      </c>
      <c r="C4410" s="15" t="s">
        <v>3643</v>
      </c>
      <c r="D4410" s="12" t="str">
        <f>"1380-7870"</f>
        <v>1380-7870</v>
      </c>
      <c r="E4410" s="5">
        <v>1.5880000000000001</v>
      </c>
      <c r="F4410" s="5">
        <v>0.53600000000000003</v>
      </c>
    </row>
    <row r="4411" spans="2:6" x14ac:dyDescent="0.2">
      <c r="B4411" s="9" t="s">
        <v>10949</v>
      </c>
      <c r="C4411" s="15" t="s">
        <v>10950</v>
      </c>
      <c r="D4411" s="12" t="str">
        <f>"0236-2945"</f>
        <v>0236-2945</v>
      </c>
      <c r="E4411" s="5">
        <v>0.42099999999999999</v>
      </c>
      <c r="F4411" s="5">
        <v>2.9000000000000001E-2</v>
      </c>
    </row>
    <row r="4412" spans="2:6" x14ac:dyDescent="0.2">
      <c r="B4412" s="9" t="s">
        <v>10951</v>
      </c>
      <c r="C4412" s="15" t="s">
        <v>10952</v>
      </c>
      <c r="D4412" s="12" t="str">
        <f>"1477-1535"</f>
        <v>1477-1535</v>
      </c>
      <c r="E4412" s="5">
        <v>2.7669999999999999</v>
      </c>
      <c r="F4412" s="5">
        <v>0.64600000000000002</v>
      </c>
    </row>
    <row r="4413" spans="2:6" x14ac:dyDescent="0.2">
      <c r="B4413" s="9" t="s">
        <v>10953</v>
      </c>
      <c r="C4413" s="15" t="s">
        <v>10954</v>
      </c>
      <c r="D4413" s="12" t="str">
        <f>"2047-7538"</f>
        <v>2047-7538</v>
      </c>
      <c r="E4413" s="5">
        <v>17.782</v>
      </c>
      <c r="F4413" s="5">
        <v>0.98</v>
      </c>
    </row>
    <row r="4414" spans="2:6" x14ac:dyDescent="0.2">
      <c r="B4414" s="9" t="s">
        <v>7739</v>
      </c>
      <c r="C4414" s="15" t="s">
        <v>7739</v>
      </c>
      <c r="D4414" s="12" t="str">
        <f>"0024-4201"</f>
        <v>0024-4201</v>
      </c>
      <c r="E4414" s="5">
        <v>1.88</v>
      </c>
      <c r="F4414" s="5">
        <v>0.193</v>
      </c>
    </row>
    <row r="4415" spans="2:6" x14ac:dyDescent="0.2">
      <c r="B4415" s="9" t="s">
        <v>672</v>
      </c>
      <c r="C4415" s="15" t="s">
        <v>673</v>
      </c>
      <c r="D4415" s="12" t="str">
        <f>"1476-511X"</f>
        <v>1476-511X</v>
      </c>
      <c r="E4415" s="5">
        <v>3.8759999999999999</v>
      </c>
      <c r="F4415" s="5">
        <v>0.503</v>
      </c>
    </row>
    <row r="4416" spans="2:6" x14ac:dyDescent="0.2">
      <c r="B4416" s="9" t="s">
        <v>10955</v>
      </c>
      <c r="C4416" s="15" t="s">
        <v>10956</v>
      </c>
      <c r="D4416" s="12" t="str">
        <f>"2235-1795"</f>
        <v>2235-1795</v>
      </c>
      <c r="E4416" s="5">
        <v>11.74</v>
      </c>
      <c r="F4416" s="5">
        <v>0.93500000000000005</v>
      </c>
    </row>
    <row r="4417" spans="2:6" x14ac:dyDescent="0.2">
      <c r="B4417" s="9" t="s">
        <v>7740</v>
      </c>
      <c r="C4417" s="15" t="s">
        <v>3644</v>
      </c>
      <c r="D4417" s="12" t="str">
        <f>"1478-3223"</f>
        <v>1478-3223</v>
      </c>
      <c r="E4417" s="5">
        <v>5.8280000000000003</v>
      </c>
      <c r="F4417" s="5">
        <v>0.73899999999999999</v>
      </c>
    </row>
    <row r="4418" spans="2:6" x14ac:dyDescent="0.2">
      <c r="B4418" s="9" t="s">
        <v>7741</v>
      </c>
      <c r="C4418" s="15" t="s">
        <v>3645</v>
      </c>
      <c r="D4418" s="12" t="str">
        <f>"1527-6465"</f>
        <v>1527-6465</v>
      </c>
      <c r="E4418" s="5">
        <v>5.7990000000000004</v>
      </c>
      <c r="F4418" s="5">
        <v>0.92400000000000004</v>
      </c>
    </row>
    <row r="4419" spans="2:6" x14ac:dyDescent="0.2">
      <c r="B4419" s="9" t="s">
        <v>674</v>
      </c>
      <c r="C4419" s="15" t="s">
        <v>675</v>
      </c>
      <c r="D4419" s="12" t="str">
        <f>"1401-5439"</f>
        <v>1401-5439</v>
      </c>
      <c r="E4419" s="5">
        <v>1.4870000000000001</v>
      </c>
      <c r="F4419" s="5">
        <v>0.182</v>
      </c>
    </row>
    <row r="4420" spans="2:6" x14ac:dyDescent="0.2">
      <c r="B4420" s="9" t="s">
        <v>10957</v>
      </c>
      <c r="C4420" s="15" t="s">
        <v>10958</v>
      </c>
      <c r="D4420" s="12" t="str">
        <f>"1757-9597"</f>
        <v>1757-9597</v>
      </c>
      <c r="E4420" s="5">
        <v>1.1040000000000001</v>
      </c>
      <c r="F4420" s="5">
        <v>0.248</v>
      </c>
    </row>
    <row r="4421" spans="2:6" x14ac:dyDescent="0.2">
      <c r="B4421" s="9" t="s">
        <v>10959</v>
      </c>
      <c r="C4421" s="15" t="s">
        <v>10960</v>
      </c>
      <c r="D4421" s="12" t="str">
        <f>"0954-0075"</f>
        <v>0954-0075</v>
      </c>
      <c r="E4421" s="5">
        <v>1.9850000000000001</v>
      </c>
      <c r="F4421" s="5">
        <v>0.41399999999999998</v>
      </c>
    </row>
    <row r="4422" spans="2:6" x14ac:dyDescent="0.2">
      <c r="B4422" s="9" t="s">
        <v>7742</v>
      </c>
      <c r="C4422" s="15" t="s">
        <v>7742</v>
      </c>
      <c r="D4422" s="12" t="str">
        <f>"1522-7235"</f>
        <v>1522-7235</v>
      </c>
      <c r="E4422" s="5">
        <v>2.464</v>
      </c>
      <c r="F4422" s="5">
        <v>0.34899999999999998</v>
      </c>
    </row>
    <row r="4423" spans="2:6" x14ac:dyDescent="0.2">
      <c r="B4423" s="9" t="s">
        <v>7743</v>
      </c>
      <c r="C4423" s="15" t="s">
        <v>7743</v>
      </c>
      <c r="D4423" s="12" t="str">
        <f>"0341-2040"</f>
        <v>0341-2040</v>
      </c>
      <c r="E4423" s="5">
        <v>2.5840000000000001</v>
      </c>
      <c r="F4423" s="5">
        <v>0.29699999999999999</v>
      </c>
    </row>
    <row r="4424" spans="2:6" x14ac:dyDescent="0.2">
      <c r="B4424" s="9" t="s">
        <v>7744</v>
      </c>
      <c r="C4424" s="15" t="s">
        <v>7744</v>
      </c>
      <c r="D4424" s="12" t="str">
        <f>"0169-5002"</f>
        <v>0169-5002</v>
      </c>
      <c r="E4424" s="5">
        <v>5.7050000000000001</v>
      </c>
      <c r="F4424" s="5">
        <v>0.81299999999999994</v>
      </c>
    </row>
    <row r="4425" spans="2:6" x14ac:dyDescent="0.2">
      <c r="B4425" s="9" t="s">
        <v>7745</v>
      </c>
      <c r="C4425" s="15" t="s">
        <v>7745</v>
      </c>
      <c r="D4425" s="12" t="str">
        <f>"0961-2033"</f>
        <v>0961-2033</v>
      </c>
      <c r="E4425" s="5">
        <v>2.911</v>
      </c>
      <c r="F4425" s="5">
        <v>0.29399999999999998</v>
      </c>
    </row>
    <row r="4426" spans="2:6" x14ac:dyDescent="0.2">
      <c r="B4426" s="9" t="s">
        <v>10961</v>
      </c>
      <c r="C4426" s="15" t="s">
        <v>10962</v>
      </c>
      <c r="D4426" s="12" t="str">
        <f>"2053-8790"</f>
        <v>2053-8790</v>
      </c>
      <c r="E4426" s="5">
        <v>4.2350000000000003</v>
      </c>
      <c r="F4426" s="5">
        <v>0.52900000000000003</v>
      </c>
    </row>
    <row r="4427" spans="2:6" x14ac:dyDescent="0.2">
      <c r="B4427" s="9" t="s">
        <v>10963</v>
      </c>
      <c r="C4427" s="15" t="s">
        <v>10964</v>
      </c>
      <c r="D4427" s="12" t="str">
        <f>"1757-5664"</f>
        <v>1757-5664</v>
      </c>
      <c r="E4427" s="5">
        <v>1.5920000000000001</v>
      </c>
      <c r="F4427" s="5">
        <v>0.18</v>
      </c>
    </row>
    <row r="4428" spans="2:6" x14ac:dyDescent="0.2">
      <c r="B4428" s="9" t="s">
        <v>10965</v>
      </c>
      <c r="C4428" s="15" t="s">
        <v>10966</v>
      </c>
      <c r="D4428" s="12" t="str">
        <f>"1557-8585"</f>
        <v>1557-8585</v>
      </c>
      <c r="E4428" s="5">
        <v>2.589</v>
      </c>
      <c r="F4428" s="5">
        <v>0.42</v>
      </c>
    </row>
    <row r="4429" spans="2:6" x14ac:dyDescent="0.2">
      <c r="B4429" s="9" t="s">
        <v>7746</v>
      </c>
      <c r="C4429" s="15" t="s">
        <v>7746</v>
      </c>
      <c r="D4429" s="12" t="str">
        <f>"0024-7766"</f>
        <v>0024-7766</v>
      </c>
      <c r="E4429" s="5">
        <v>1.286</v>
      </c>
      <c r="F4429" s="5">
        <v>9.9000000000000005E-2</v>
      </c>
    </row>
    <row r="4430" spans="2:6" x14ac:dyDescent="0.2">
      <c r="B4430" s="9" t="s">
        <v>10967</v>
      </c>
      <c r="C4430" s="15" t="s">
        <v>10968</v>
      </c>
      <c r="D4430" s="12" t="str">
        <f>"1942-0870"</f>
        <v>1942-0870</v>
      </c>
      <c r="E4430" s="5">
        <v>5.8570000000000002</v>
      </c>
      <c r="F4430" s="5">
        <v>0.75700000000000001</v>
      </c>
    </row>
    <row r="4431" spans="2:6" x14ac:dyDescent="0.2">
      <c r="B4431" s="9" t="s">
        <v>676</v>
      </c>
      <c r="C4431" s="15" t="s">
        <v>677</v>
      </c>
      <c r="D4431" s="12" t="str">
        <f>"1857-5552"</f>
        <v>1857-5552</v>
      </c>
      <c r="E4431" s="5">
        <v>0.68899999999999995</v>
      </c>
      <c r="F4431" s="5">
        <v>0.112</v>
      </c>
    </row>
    <row r="4432" spans="2:6" x14ac:dyDescent="0.2">
      <c r="B4432" s="9" t="s">
        <v>10969</v>
      </c>
      <c r="C4432" s="15" t="s">
        <v>10970</v>
      </c>
      <c r="D4432" s="12" t="str">
        <f>"2075-1702"</f>
        <v>2075-1702</v>
      </c>
      <c r="E4432" s="5">
        <v>2.4279999999999999</v>
      </c>
      <c r="F4432" s="5">
        <v>0.55600000000000005</v>
      </c>
    </row>
    <row r="4433" spans="2:6" x14ac:dyDescent="0.2">
      <c r="B4433" s="9" t="s">
        <v>7748</v>
      </c>
      <c r="C4433" s="15" t="s">
        <v>3647</v>
      </c>
      <c r="D4433" s="12" t="str">
        <f>"1091-0344"</f>
        <v>1091-0344</v>
      </c>
      <c r="E4433" s="5">
        <v>2.2549999999999999</v>
      </c>
      <c r="F4433" s="5">
        <v>0.53400000000000003</v>
      </c>
    </row>
    <row r="4434" spans="2:6" x14ac:dyDescent="0.2">
      <c r="B4434" s="9" t="s">
        <v>10971</v>
      </c>
      <c r="C4434" s="15" t="s">
        <v>10972</v>
      </c>
      <c r="D4434" s="12" t="str">
        <f>"1998-9539"</f>
        <v>1998-9539</v>
      </c>
      <c r="E4434" s="5">
        <v>1.2</v>
      </c>
      <c r="F4434" s="5">
        <v>0.19700000000000001</v>
      </c>
    </row>
    <row r="4435" spans="2:6" x14ac:dyDescent="0.2">
      <c r="B4435" s="9" t="s">
        <v>7749</v>
      </c>
      <c r="C4435" s="15" t="s">
        <v>3648</v>
      </c>
      <c r="D4435" s="12" t="str">
        <f>"1616-5187"</f>
        <v>1616-5187</v>
      </c>
      <c r="E4435" s="5">
        <v>4.9790000000000001</v>
      </c>
      <c r="F4435" s="5">
        <v>0.86199999999999999</v>
      </c>
    </row>
    <row r="4436" spans="2:6" x14ac:dyDescent="0.2">
      <c r="B4436" s="9" t="s">
        <v>678</v>
      </c>
      <c r="C4436" s="15" t="s">
        <v>679</v>
      </c>
      <c r="D4436" s="12" t="str">
        <f>"1905-7873"</f>
        <v>1905-7873</v>
      </c>
      <c r="E4436" s="5">
        <v>0.63600000000000001</v>
      </c>
      <c r="F4436" s="5">
        <v>0.13900000000000001</v>
      </c>
    </row>
    <row r="4437" spans="2:6" x14ac:dyDescent="0.2">
      <c r="B4437" s="9" t="s">
        <v>7754</v>
      </c>
      <c r="C4437" s="15" t="s">
        <v>3653</v>
      </c>
      <c r="D4437" s="12" t="str">
        <f>"0953-1424"</f>
        <v>0953-1424</v>
      </c>
      <c r="E4437" s="5">
        <v>1.115</v>
      </c>
      <c r="F4437" s="5">
        <v>6.2E-2</v>
      </c>
    </row>
    <row r="4438" spans="2:6" x14ac:dyDescent="0.2">
      <c r="B4438" s="9" t="s">
        <v>7750</v>
      </c>
      <c r="C4438" s="15" t="s">
        <v>3649</v>
      </c>
      <c r="D4438" s="12" t="str">
        <f>"0749-1581"</f>
        <v>0749-1581</v>
      </c>
      <c r="E4438" s="5">
        <v>2.4470000000000001</v>
      </c>
      <c r="F4438" s="5">
        <v>0.60499999999999998</v>
      </c>
    </row>
    <row r="4439" spans="2:6" x14ac:dyDescent="0.2">
      <c r="B4439" s="9" t="s">
        <v>7751</v>
      </c>
      <c r="C4439" s="15" t="s">
        <v>3650</v>
      </c>
      <c r="D4439" s="12" t="str">
        <f>"0730-725X"</f>
        <v>0730-725X</v>
      </c>
      <c r="E4439" s="5">
        <v>2.5459999999999998</v>
      </c>
      <c r="F4439" s="5">
        <v>0.42099999999999999</v>
      </c>
    </row>
    <row r="4440" spans="2:6" x14ac:dyDescent="0.2">
      <c r="B4440" s="9" t="s">
        <v>10973</v>
      </c>
      <c r="C4440" s="15" t="s">
        <v>10974</v>
      </c>
      <c r="D4440" s="12" t="str">
        <f>"1064-9689"</f>
        <v>1064-9689</v>
      </c>
      <c r="E4440" s="5">
        <v>2.266</v>
      </c>
      <c r="F4440" s="5">
        <v>0.316</v>
      </c>
    </row>
    <row r="4441" spans="2:6" x14ac:dyDescent="0.2">
      <c r="B4441" s="9" t="s">
        <v>7752</v>
      </c>
      <c r="C4441" s="15" t="s">
        <v>3651</v>
      </c>
      <c r="D4441" s="12" t="str">
        <f>"0968-5243"</f>
        <v>0968-5243</v>
      </c>
      <c r="E4441" s="5">
        <v>2.31</v>
      </c>
      <c r="F4441" s="5">
        <v>0.33100000000000002</v>
      </c>
    </row>
    <row r="4442" spans="2:6" x14ac:dyDescent="0.2">
      <c r="B4442" s="9" t="s">
        <v>7753</v>
      </c>
      <c r="C4442" s="15" t="s">
        <v>3652</v>
      </c>
      <c r="D4442" s="12" t="str">
        <f>"0740-3194"</f>
        <v>0740-3194</v>
      </c>
      <c r="E4442" s="5">
        <v>4.6680000000000001</v>
      </c>
      <c r="F4442" s="5">
        <v>0.79700000000000004</v>
      </c>
    </row>
    <row r="4443" spans="2:6" x14ac:dyDescent="0.2">
      <c r="B4443" s="9" t="s">
        <v>10975</v>
      </c>
      <c r="C4443" s="15" t="s">
        <v>10976</v>
      </c>
      <c r="D4443" s="12" t="str">
        <f>"1347-3182"</f>
        <v>1347-3182</v>
      </c>
      <c r="E4443" s="5">
        <v>2.4710000000000001</v>
      </c>
      <c r="F4443" s="5">
        <v>0.39800000000000002</v>
      </c>
    </row>
    <row r="4444" spans="2:6" x14ac:dyDescent="0.2">
      <c r="B4444" s="9" t="s">
        <v>7755</v>
      </c>
      <c r="C4444" s="15" t="s">
        <v>3654</v>
      </c>
      <c r="D4444" s="12" t="str">
        <f>"0025-004X"</f>
        <v>0025-004X</v>
      </c>
      <c r="E4444" s="5">
        <v>0.22</v>
      </c>
      <c r="F4444" s="5">
        <v>2.7E-2</v>
      </c>
    </row>
    <row r="4445" spans="2:6" x14ac:dyDescent="0.2">
      <c r="B4445" s="9" t="s">
        <v>680</v>
      </c>
      <c r="C4445" s="15" t="s">
        <v>681</v>
      </c>
      <c r="D4445" s="12" t="str">
        <f>"1024-1221"</f>
        <v>1024-1221</v>
      </c>
      <c r="E4445" s="5">
        <v>1.0389999999999999</v>
      </c>
      <c r="F4445" s="5">
        <v>0.16900000000000001</v>
      </c>
    </row>
    <row r="4446" spans="2:6" x14ac:dyDescent="0.2">
      <c r="B4446" s="9" t="s">
        <v>7756</v>
      </c>
      <c r="C4446" s="15" t="s">
        <v>3655</v>
      </c>
      <c r="D4446" s="12" t="str">
        <f>"0792-1241"</f>
        <v>0792-1241</v>
      </c>
      <c r="E4446" s="5">
        <v>1.0680000000000001</v>
      </c>
      <c r="F4446" s="5">
        <v>0.193</v>
      </c>
    </row>
    <row r="4447" spans="2:6" x14ac:dyDescent="0.2">
      <c r="B4447" s="9" t="s">
        <v>7757</v>
      </c>
      <c r="C4447" s="15" t="s">
        <v>3656</v>
      </c>
      <c r="D4447" s="12" t="str">
        <f>"1475-2875"</f>
        <v>1475-2875</v>
      </c>
      <c r="E4447" s="5">
        <v>2.9790000000000001</v>
      </c>
      <c r="F4447" s="5">
        <v>0.82599999999999996</v>
      </c>
    </row>
    <row r="4448" spans="2:6" x14ac:dyDescent="0.2">
      <c r="B4448" s="9" t="s">
        <v>10977</v>
      </c>
      <c r="C4448" s="15" t="s">
        <v>10978</v>
      </c>
      <c r="D4448" s="12" t="str">
        <f>"1995-7262"</f>
        <v>1995-7262</v>
      </c>
      <c r="E4448" s="5">
        <v>0.875</v>
      </c>
      <c r="F4448" s="5">
        <v>5.8000000000000003E-2</v>
      </c>
    </row>
    <row r="4449" spans="2:6" x14ac:dyDescent="0.2">
      <c r="B4449" s="9" t="s">
        <v>10979</v>
      </c>
      <c r="C4449" s="15" t="s">
        <v>10980</v>
      </c>
      <c r="D4449" s="12" t="str">
        <f>"1394-6234"</f>
        <v>1394-6234</v>
      </c>
      <c r="E4449" s="5">
        <v>1.25</v>
      </c>
      <c r="F4449" s="5">
        <v>0.29399999999999998</v>
      </c>
    </row>
    <row r="4450" spans="2:6" x14ac:dyDescent="0.2">
      <c r="B4450" s="9" t="s">
        <v>10981</v>
      </c>
      <c r="C4450" s="15" t="s">
        <v>10982</v>
      </c>
      <c r="D4450" s="12" t="str">
        <f>"0126-8635"</f>
        <v>0126-8635</v>
      </c>
      <c r="E4450" s="5">
        <v>0.65600000000000003</v>
      </c>
      <c r="F4450" s="5">
        <v>6.5000000000000002E-2</v>
      </c>
    </row>
    <row r="4451" spans="2:6" x14ac:dyDescent="0.2">
      <c r="B4451" s="9" t="s">
        <v>7758</v>
      </c>
      <c r="C4451" s="15" t="s">
        <v>3657</v>
      </c>
      <c r="D4451" s="12" t="str">
        <f>"0938-8990"</f>
        <v>0938-8990</v>
      </c>
      <c r="E4451" s="5">
        <v>2.9569999999999999</v>
      </c>
      <c r="F4451" s="5">
        <v>0.46200000000000002</v>
      </c>
    </row>
    <row r="4452" spans="2:6" x14ac:dyDescent="0.2">
      <c r="B4452" s="9" t="s">
        <v>7759</v>
      </c>
      <c r="C4452" s="15" t="s">
        <v>3658</v>
      </c>
      <c r="D4452" s="12" t="str">
        <f>"1436-2228"</f>
        <v>1436-2228</v>
      </c>
      <c r="E4452" s="5">
        <v>3.6190000000000002</v>
      </c>
      <c r="F4452" s="5">
        <v>0.88100000000000001</v>
      </c>
    </row>
    <row r="4453" spans="2:6" x14ac:dyDescent="0.2">
      <c r="B4453" s="9" t="s">
        <v>7760</v>
      </c>
      <c r="C4453" s="15" t="s">
        <v>3659</v>
      </c>
      <c r="D4453" s="12" t="str">
        <f>"0304-4203"</f>
        <v>0304-4203</v>
      </c>
      <c r="E4453" s="5">
        <v>3.8069999999999999</v>
      </c>
      <c r="F4453" s="5">
        <v>0.92200000000000004</v>
      </c>
    </row>
    <row r="4454" spans="2:6" x14ac:dyDescent="0.2">
      <c r="B4454" s="9" t="s">
        <v>682</v>
      </c>
      <c r="C4454" s="15" t="s">
        <v>683</v>
      </c>
      <c r="D4454" s="12" t="str">
        <f>"1660-3397"</f>
        <v>1660-3397</v>
      </c>
      <c r="E4454" s="5">
        <v>5.1180000000000003</v>
      </c>
      <c r="F4454" s="5">
        <v>0.82299999999999995</v>
      </c>
    </row>
    <row r="4455" spans="2:6" x14ac:dyDescent="0.2">
      <c r="B4455" s="9" t="s">
        <v>7761</v>
      </c>
      <c r="C4455" s="15" t="s">
        <v>3660</v>
      </c>
      <c r="D4455" s="12" t="str">
        <f>"0141-1136"</f>
        <v>0141-1136</v>
      </c>
      <c r="E4455" s="5">
        <v>3.13</v>
      </c>
      <c r="F4455" s="5">
        <v>0.84399999999999997</v>
      </c>
    </row>
    <row r="4456" spans="2:6" x14ac:dyDescent="0.2">
      <c r="B4456" s="9" t="s">
        <v>684</v>
      </c>
      <c r="C4456" s="15" t="s">
        <v>685</v>
      </c>
      <c r="D4456" s="12" t="str">
        <f>"1874-7787"</f>
        <v>1874-7787</v>
      </c>
      <c r="E4456" s="5">
        <v>1.71</v>
      </c>
      <c r="F4456" s="5">
        <v>0.154</v>
      </c>
    </row>
    <row r="4457" spans="2:6" x14ac:dyDescent="0.2">
      <c r="B4457" s="9" t="s">
        <v>10983</v>
      </c>
      <c r="C4457" s="15" t="s">
        <v>10984</v>
      </c>
      <c r="D4457" s="12" t="str">
        <f>"1024-2953"</f>
        <v>1024-2953</v>
      </c>
      <c r="E4457" s="5">
        <v>0.55600000000000005</v>
      </c>
      <c r="F4457" s="5">
        <v>0.04</v>
      </c>
    </row>
    <row r="4458" spans="2:6" x14ac:dyDescent="0.2">
      <c r="B4458" s="9" t="s">
        <v>7762</v>
      </c>
      <c r="C4458" s="15" t="s">
        <v>3661</v>
      </c>
      <c r="D4458" s="12" t="str">
        <f>"0340-6253"</f>
        <v>0340-6253</v>
      </c>
      <c r="E4458" s="5">
        <v>2.4969999999999999</v>
      </c>
      <c r="F4458" s="5">
        <v>0.65700000000000003</v>
      </c>
    </row>
    <row r="4459" spans="2:6" x14ac:dyDescent="0.2">
      <c r="B4459" s="9" t="s">
        <v>10985</v>
      </c>
      <c r="C4459" s="15" t="s">
        <v>10986</v>
      </c>
      <c r="D4459" s="12" t="str">
        <f>"2052-1537"</f>
        <v>2052-1537</v>
      </c>
      <c r="E4459" s="5">
        <v>6.4820000000000002</v>
      </c>
      <c r="F4459" s="5">
        <v>0.77500000000000002</v>
      </c>
    </row>
    <row r="4460" spans="2:6" x14ac:dyDescent="0.2">
      <c r="B4460" s="9" t="s">
        <v>10987</v>
      </c>
      <c r="C4460" s="15" t="s">
        <v>10988</v>
      </c>
      <c r="D4460" s="12" t="str">
        <f>"2051-6347"</f>
        <v>2051-6347</v>
      </c>
      <c r="E4460" s="5">
        <v>13.266</v>
      </c>
      <c r="F4460" s="5">
        <v>0.92500000000000004</v>
      </c>
    </row>
    <row r="4461" spans="2:6" x14ac:dyDescent="0.2">
      <c r="B4461" s="9" t="s">
        <v>686</v>
      </c>
      <c r="C4461" s="15" t="s">
        <v>687</v>
      </c>
      <c r="D4461" s="12" t="str">
        <f>"1092-7875"</f>
        <v>1092-7875</v>
      </c>
      <c r="E4461" s="5">
        <v>2.2759999999999998</v>
      </c>
      <c r="F4461" s="5">
        <v>0.437</v>
      </c>
    </row>
    <row r="4462" spans="2:6" x14ac:dyDescent="0.2">
      <c r="B4462" s="9" t="s">
        <v>7763</v>
      </c>
      <c r="C4462" s="15" t="s">
        <v>3662</v>
      </c>
      <c r="D4462" s="12" t="str">
        <f>"1740-8695"</f>
        <v>1740-8695</v>
      </c>
      <c r="E4462" s="5">
        <v>3.0920000000000001</v>
      </c>
      <c r="F4462" s="5">
        <v>0.752</v>
      </c>
    </row>
    <row r="4463" spans="2:6" x14ac:dyDescent="0.2">
      <c r="B4463" s="9" t="s">
        <v>10989</v>
      </c>
      <c r="C4463" s="15" t="s">
        <v>10990</v>
      </c>
      <c r="D4463" s="12" t="str">
        <f>"2590-0064"</f>
        <v>2590-0064</v>
      </c>
      <c r="E4463" s="5">
        <v>7.3479999999999999</v>
      </c>
      <c r="F4463" s="5">
        <v>0.86799999999999999</v>
      </c>
    </row>
    <row r="4464" spans="2:6" x14ac:dyDescent="0.2">
      <c r="B4464" s="9" t="s">
        <v>10991</v>
      </c>
      <c r="C4464" s="15" t="s">
        <v>10992</v>
      </c>
      <c r="D4464" s="12" t="str">
        <f>"2468-5194"</f>
        <v>2468-5194</v>
      </c>
      <c r="E4464" s="5">
        <v>8.3010000000000002</v>
      </c>
      <c r="F4464" s="5">
        <v>0.85</v>
      </c>
    </row>
    <row r="4465" spans="2:6" x14ac:dyDescent="0.2">
      <c r="B4465" s="9" t="s">
        <v>7764</v>
      </c>
      <c r="C4465" s="15" t="s">
        <v>3663</v>
      </c>
      <c r="D4465" s="12" t="str">
        <f>"0025-5564"</f>
        <v>0025-5564</v>
      </c>
      <c r="E4465" s="5">
        <v>2.1440000000000001</v>
      </c>
      <c r="F4465" s="5">
        <v>0.47299999999999998</v>
      </c>
    </row>
    <row r="4466" spans="2:6" x14ac:dyDescent="0.2">
      <c r="B4466" s="9" t="s">
        <v>688</v>
      </c>
      <c r="C4466" s="15" t="s">
        <v>689</v>
      </c>
      <c r="D4466" s="12" t="str">
        <f>"1387-3954"</f>
        <v>1387-3954</v>
      </c>
      <c r="E4466" s="5">
        <v>0.94499999999999995</v>
      </c>
      <c r="F4466" s="5">
        <v>0.26800000000000002</v>
      </c>
    </row>
    <row r="4467" spans="2:6" x14ac:dyDescent="0.2">
      <c r="B4467" s="9" t="s">
        <v>690</v>
      </c>
      <c r="C4467" s="15" t="s">
        <v>691</v>
      </c>
      <c r="D4467" s="12" t="str">
        <f>"0378-4754"</f>
        <v>0378-4754</v>
      </c>
      <c r="E4467" s="5">
        <v>2.4630000000000001</v>
      </c>
      <c r="F4467" s="5">
        <v>0.83399999999999996</v>
      </c>
    </row>
    <row r="4468" spans="2:6" x14ac:dyDescent="0.2">
      <c r="B4468" s="9" t="s">
        <v>7765</v>
      </c>
      <c r="C4468" s="15" t="s">
        <v>3664</v>
      </c>
      <c r="D4468" s="12" t="str">
        <f>"1081-2865"</f>
        <v>1081-2865</v>
      </c>
      <c r="E4468" s="5">
        <v>2.3410000000000002</v>
      </c>
      <c r="F4468" s="5">
        <v>0.59299999999999997</v>
      </c>
    </row>
    <row r="4469" spans="2:6" x14ac:dyDescent="0.2">
      <c r="B4469" s="9" t="s">
        <v>7766</v>
      </c>
      <c r="C4469" s="15" t="s">
        <v>3716</v>
      </c>
      <c r="D4469" s="12" t="str">
        <f>"1477-8602"</f>
        <v>1477-8602</v>
      </c>
      <c r="E4469" s="5">
        <v>1.8540000000000001</v>
      </c>
      <c r="F4469" s="5">
        <v>0.376</v>
      </c>
    </row>
    <row r="4470" spans="2:6" x14ac:dyDescent="0.2">
      <c r="B4470" s="9" t="s">
        <v>10993</v>
      </c>
      <c r="C4470" s="15" t="s">
        <v>10994</v>
      </c>
      <c r="D4470" s="12" t="str">
        <f>"0973-5348"</f>
        <v>0973-5348</v>
      </c>
      <c r="E4470" s="5">
        <v>4.157</v>
      </c>
      <c r="F4470" s="5">
        <v>0.98099999999999998</v>
      </c>
    </row>
    <row r="4471" spans="2:6" x14ac:dyDescent="0.2">
      <c r="B4471" s="9" t="s">
        <v>692</v>
      </c>
      <c r="C4471" s="15" t="s">
        <v>693</v>
      </c>
      <c r="D4471" s="12" t="str">
        <f>"0889-8480"</f>
        <v>0889-8480</v>
      </c>
      <c r="E4471" s="5">
        <v>0.72</v>
      </c>
      <c r="F4471" s="5">
        <v>0.10299999999999999</v>
      </c>
    </row>
    <row r="4472" spans="2:6" x14ac:dyDescent="0.2">
      <c r="B4472" s="9" t="s">
        <v>7767</v>
      </c>
      <c r="C4472" s="15" t="s">
        <v>3717</v>
      </c>
      <c r="D4472" s="12" t="str">
        <f>"0945-053X"</f>
        <v>0945-053X</v>
      </c>
      <c r="E4472" s="5">
        <v>11.583</v>
      </c>
      <c r="F4472" s="5">
        <v>0.92600000000000005</v>
      </c>
    </row>
    <row r="4473" spans="2:6" x14ac:dyDescent="0.2">
      <c r="B4473" s="9" t="s">
        <v>7768</v>
      </c>
      <c r="C4473" s="15" t="s">
        <v>7768</v>
      </c>
      <c r="D4473" s="12" t="str">
        <f>"0378-5122"</f>
        <v>0378-5122</v>
      </c>
      <c r="E4473" s="5">
        <v>4.3419999999999996</v>
      </c>
      <c r="F4473" s="5">
        <v>0.86699999999999999</v>
      </c>
    </row>
    <row r="4474" spans="2:6" x14ac:dyDescent="0.2">
      <c r="B4474" s="9" t="s">
        <v>7769</v>
      </c>
      <c r="C4474" s="15" t="s">
        <v>3718</v>
      </c>
      <c r="D4474" s="12" t="str">
        <f>"0025-6196"</f>
        <v>0025-6196</v>
      </c>
      <c r="E4474" s="5">
        <v>7.6159999999999997</v>
      </c>
      <c r="F4474" s="5">
        <v>0.89800000000000002</v>
      </c>
    </row>
    <row r="4475" spans="2:6" x14ac:dyDescent="0.2">
      <c r="B4475" s="9" t="s">
        <v>10995</v>
      </c>
      <c r="C4475" s="15" t="s">
        <v>10996</v>
      </c>
      <c r="D4475" s="12" t="str">
        <f>"2150-7511"</f>
        <v>2150-7511</v>
      </c>
      <c r="E4475" s="5">
        <v>7.867</v>
      </c>
      <c r="F4475" s="5">
        <v>0.89600000000000002</v>
      </c>
    </row>
    <row r="4476" spans="2:6" x14ac:dyDescent="0.2">
      <c r="B4476" s="9" t="s">
        <v>694</v>
      </c>
      <c r="C4476" s="15" t="s">
        <v>695</v>
      </c>
      <c r="D4476" s="12" t="str">
        <f>"0361-929X"</f>
        <v>0361-929X</v>
      </c>
      <c r="E4476" s="5">
        <v>1.4119999999999999</v>
      </c>
      <c r="F4476" s="5">
        <v>0.29399999999999998</v>
      </c>
    </row>
    <row r="4477" spans="2:6" x14ac:dyDescent="0.2">
      <c r="B4477" s="9" t="s">
        <v>696</v>
      </c>
      <c r="C4477" s="15" t="s">
        <v>697</v>
      </c>
      <c r="D4477" s="12" t="str">
        <f>"0748-1756"</f>
        <v>0748-1756</v>
      </c>
      <c r="E4477" s="5">
        <v>1.512</v>
      </c>
      <c r="F4477" s="5">
        <v>0.20499999999999999</v>
      </c>
    </row>
    <row r="4478" spans="2:6" x14ac:dyDescent="0.2">
      <c r="B4478" s="9" t="s">
        <v>10997</v>
      </c>
      <c r="C4478" s="15" t="s">
        <v>10998</v>
      </c>
      <c r="D4478" s="12" t="str">
        <f>"1091-367X"</f>
        <v>1091-367X</v>
      </c>
      <c r="E4478" s="5">
        <v>2.3039999999999998</v>
      </c>
      <c r="F4478" s="5">
        <v>0.51100000000000001</v>
      </c>
    </row>
    <row r="4479" spans="2:6" x14ac:dyDescent="0.2">
      <c r="B4479" s="9" t="s">
        <v>7770</v>
      </c>
      <c r="C4479" s="15" t="s">
        <v>3719</v>
      </c>
      <c r="D4479" s="12" t="str">
        <f>"0047-6374"</f>
        <v>0047-6374</v>
      </c>
      <c r="E4479" s="5">
        <v>5.4320000000000004</v>
      </c>
      <c r="F4479" s="5">
        <v>0.79200000000000004</v>
      </c>
    </row>
    <row r="4480" spans="2:6" x14ac:dyDescent="0.2">
      <c r="B4480" s="9" t="s">
        <v>7775</v>
      </c>
      <c r="C4480" s="15" t="s">
        <v>7775</v>
      </c>
      <c r="D4480" s="12" t="str">
        <f>"0957-4158"</f>
        <v>0957-4158</v>
      </c>
      <c r="E4480" s="5">
        <v>3.4980000000000002</v>
      </c>
      <c r="F4480" s="5">
        <v>0.73699999999999999</v>
      </c>
    </row>
    <row r="4481" spans="2:6" x14ac:dyDescent="0.2">
      <c r="B4481" s="9" t="s">
        <v>7771</v>
      </c>
      <c r="C4481" s="15" t="s">
        <v>3720</v>
      </c>
      <c r="D4481" s="12" t="str">
        <f>"0925-4773"</f>
        <v>0925-4773</v>
      </c>
      <c r="E4481" s="5">
        <v>1.8819999999999999</v>
      </c>
      <c r="F4481" s="5">
        <v>0.17100000000000001</v>
      </c>
    </row>
    <row r="4482" spans="2:6" x14ac:dyDescent="0.2">
      <c r="B4482" s="9" t="s">
        <v>7772</v>
      </c>
      <c r="C4482" s="15" t="s">
        <v>3721</v>
      </c>
      <c r="D4482" s="12" t="str">
        <f>"0025-6501"</f>
        <v>0025-6501</v>
      </c>
      <c r="E4482" s="5">
        <v>0.77600000000000002</v>
      </c>
      <c r="F4482" s="5">
        <v>8.3000000000000004E-2</v>
      </c>
    </row>
    <row r="4483" spans="2:6" x14ac:dyDescent="0.2">
      <c r="B4483" s="9" t="s">
        <v>10999</v>
      </c>
      <c r="C4483" s="15" t="s">
        <v>11000</v>
      </c>
      <c r="D4483" s="12" t="str">
        <f>"2257-7777"</f>
        <v>2257-7777</v>
      </c>
      <c r="E4483" s="5">
        <v>0.91300000000000003</v>
      </c>
      <c r="F4483" s="5">
        <v>0.105</v>
      </c>
    </row>
    <row r="4484" spans="2:6" x14ac:dyDescent="0.2">
      <c r="B4484" s="9" t="s">
        <v>7773</v>
      </c>
      <c r="C4484" s="15" t="s">
        <v>3722</v>
      </c>
      <c r="D4484" s="12" t="str">
        <f>"0094-114X"</f>
        <v>0094-114X</v>
      </c>
      <c r="E4484" s="5">
        <v>3.8660000000000001</v>
      </c>
      <c r="F4484" s="5">
        <v>0.78900000000000003</v>
      </c>
    </row>
    <row r="4485" spans="2:6" x14ac:dyDescent="0.2">
      <c r="B4485" s="9" t="s">
        <v>11001</v>
      </c>
      <c r="C4485" s="15" t="s">
        <v>11002</v>
      </c>
      <c r="D4485" s="12" t="str">
        <f>"2191-9151"</f>
        <v>2191-9151</v>
      </c>
      <c r="E4485" s="5">
        <v>1.0860000000000001</v>
      </c>
      <c r="F4485" s="5">
        <v>0.13500000000000001</v>
      </c>
    </row>
    <row r="4486" spans="2:6" x14ac:dyDescent="0.2">
      <c r="B4486" s="9" t="s">
        <v>7774</v>
      </c>
      <c r="C4486" s="15" t="s">
        <v>3723</v>
      </c>
      <c r="D4486" s="12" t="str">
        <f>"0888-3270"</f>
        <v>0888-3270</v>
      </c>
      <c r="E4486" s="5">
        <v>6.8230000000000004</v>
      </c>
      <c r="F4486" s="5">
        <v>0.95499999999999996</v>
      </c>
    </row>
    <row r="4487" spans="2:6" x14ac:dyDescent="0.2">
      <c r="B4487" s="9" t="s">
        <v>11003</v>
      </c>
      <c r="C4487" s="15" t="s">
        <v>11004</v>
      </c>
      <c r="D4487" s="12" t="str">
        <f>"0145-9740"</f>
        <v>0145-9740</v>
      </c>
      <c r="E4487" s="5">
        <v>2.1890000000000001</v>
      </c>
      <c r="F4487" s="5">
        <v>0.73899999999999999</v>
      </c>
    </row>
    <row r="4488" spans="2:6" x14ac:dyDescent="0.2">
      <c r="B4488" s="9" t="s">
        <v>698</v>
      </c>
      <c r="C4488" s="15" t="s">
        <v>699</v>
      </c>
      <c r="D4488" s="12" t="str">
        <f>"1548-1387"</f>
        <v>1548-1387</v>
      </c>
      <c r="E4488" s="5">
        <v>2.4750000000000001</v>
      </c>
      <c r="F4488" s="5">
        <v>0.80700000000000005</v>
      </c>
    </row>
    <row r="4489" spans="2:6" x14ac:dyDescent="0.2">
      <c r="B4489" s="9" t="s">
        <v>7776</v>
      </c>
      <c r="C4489" s="15" t="s">
        <v>3724</v>
      </c>
      <c r="D4489" s="12" t="str">
        <f>"0140-0118"</f>
        <v>0140-0118</v>
      </c>
      <c r="E4489" s="5">
        <v>2.6019999999999999</v>
      </c>
      <c r="F4489" s="5">
        <v>0.65500000000000003</v>
      </c>
    </row>
    <row r="4490" spans="2:6" x14ac:dyDescent="0.2">
      <c r="B4490" s="9" t="s">
        <v>7777</v>
      </c>
      <c r="C4490" s="15" t="s">
        <v>3725</v>
      </c>
      <c r="D4490" s="12" t="str">
        <f>"1537-1948"</f>
        <v>1537-1948</v>
      </c>
      <c r="E4490" s="5">
        <v>2.9830000000000001</v>
      </c>
      <c r="F4490" s="5">
        <v>0.63600000000000001</v>
      </c>
    </row>
    <row r="4491" spans="2:6" x14ac:dyDescent="0.2">
      <c r="B4491" s="9" t="s">
        <v>7778</v>
      </c>
      <c r="C4491" s="15" t="s">
        <v>3726</v>
      </c>
      <c r="D4491" s="12" t="str">
        <f>"1077-5587"</f>
        <v>1077-5587</v>
      </c>
      <c r="E4491" s="5">
        <v>3.9289999999999998</v>
      </c>
      <c r="F4491" s="5">
        <v>0.88600000000000001</v>
      </c>
    </row>
    <row r="4492" spans="2:6" x14ac:dyDescent="0.2">
      <c r="B4492" s="9" t="s">
        <v>700</v>
      </c>
      <c r="C4492" s="15" t="s">
        <v>701</v>
      </c>
      <c r="D4492" s="12" t="str">
        <f>"1573-4064"</f>
        <v>1573-4064</v>
      </c>
      <c r="E4492" s="5">
        <v>2.7450000000000001</v>
      </c>
      <c r="F4492" s="5">
        <v>0.30599999999999999</v>
      </c>
    </row>
    <row r="4493" spans="2:6" x14ac:dyDescent="0.2">
      <c r="B4493" s="9" t="s">
        <v>11005</v>
      </c>
      <c r="C4493" s="15" t="s">
        <v>11006</v>
      </c>
      <c r="D4493" s="12" t="str">
        <f>"2040-2503"</f>
        <v>2040-2503</v>
      </c>
      <c r="E4493" s="5">
        <v>3.597</v>
      </c>
      <c r="F4493" s="5">
        <v>0.53200000000000003</v>
      </c>
    </row>
    <row r="4494" spans="2:6" x14ac:dyDescent="0.2">
      <c r="B4494" s="9" t="s">
        <v>7779</v>
      </c>
      <c r="C4494" s="15" t="s">
        <v>3727</v>
      </c>
      <c r="D4494" s="12" t="str">
        <f>"1054-2523"</f>
        <v>1054-2523</v>
      </c>
      <c r="E4494" s="5">
        <v>1.9650000000000001</v>
      </c>
      <c r="F4494" s="5">
        <v>0.22600000000000001</v>
      </c>
    </row>
    <row r="4495" spans="2:6" x14ac:dyDescent="0.2">
      <c r="B4495" s="9" t="s">
        <v>7781</v>
      </c>
      <c r="C4495" s="15" t="s">
        <v>3729</v>
      </c>
      <c r="D4495" s="12" t="str">
        <f>"0025-7753"</f>
        <v>0025-7753</v>
      </c>
      <c r="E4495" s="5">
        <v>1.7250000000000001</v>
      </c>
      <c r="F4495" s="5">
        <v>0.377</v>
      </c>
    </row>
    <row r="4496" spans="2:6" x14ac:dyDescent="0.2">
      <c r="B4496" s="9" t="s">
        <v>7780</v>
      </c>
      <c r="C4496" s="15" t="s">
        <v>3728</v>
      </c>
      <c r="D4496" s="12" t="str">
        <f>"0025-7125"</f>
        <v>0025-7125</v>
      </c>
      <c r="E4496" s="5">
        <v>5.4560000000000004</v>
      </c>
      <c r="F4496" s="5">
        <v>0.874</v>
      </c>
    </row>
    <row r="4497" spans="2:6" x14ac:dyDescent="0.2">
      <c r="B4497" s="9" t="s">
        <v>7782</v>
      </c>
      <c r="C4497" s="15" t="s">
        <v>3730</v>
      </c>
      <c r="D4497" s="12" t="str">
        <f>"0272-989X"</f>
        <v>0272-989X</v>
      </c>
      <c r="E4497" s="5">
        <v>2.5830000000000002</v>
      </c>
      <c r="F4497" s="5">
        <v>0.53400000000000003</v>
      </c>
    </row>
    <row r="4498" spans="2:6" x14ac:dyDescent="0.2">
      <c r="B4498" s="9" t="s">
        <v>702</v>
      </c>
      <c r="C4498" s="15" t="s">
        <v>703</v>
      </c>
      <c r="D4498" s="12" t="str">
        <f>"0958-3947"</f>
        <v>0958-3947</v>
      </c>
      <c r="E4498" s="5">
        <v>1.482</v>
      </c>
      <c r="F4498" s="5">
        <v>0.13500000000000001</v>
      </c>
    </row>
    <row r="4499" spans="2:6" x14ac:dyDescent="0.2">
      <c r="B4499" s="9" t="s">
        <v>7783</v>
      </c>
      <c r="C4499" s="15" t="s">
        <v>3731</v>
      </c>
      <c r="D4499" s="12" t="str">
        <f>"1365-2923"</f>
        <v>1365-2923</v>
      </c>
      <c r="E4499" s="5">
        <v>6.2510000000000003</v>
      </c>
      <c r="F4499" s="5">
        <v>0.97699999999999998</v>
      </c>
    </row>
    <row r="4500" spans="2:6" x14ac:dyDescent="0.2">
      <c r="B4500" s="9" t="s">
        <v>7784</v>
      </c>
      <c r="C4500" s="15" t="s">
        <v>3732</v>
      </c>
      <c r="D4500" s="12" t="str">
        <f>"1350-4533"</f>
        <v>1350-4533</v>
      </c>
      <c r="E4500" s="5">
        <v>2.242</v>
      </c>
      <c r="F4500" s="5">
        <v>0.29899999999999999</v>
      </c>
    </row>
    <row r="4501" spans="2:6" x14ac:dyDescent="0.2">
      <c r="B4501" s="9" t="s">
        <v>11007</v>
      </c>
      <c r="C4501" s="15" t="s">
        <v>11008</v>
      </c>
      <c r="D4501" s="12" t="str">
        <f>"0936-5931"</f>
        <v>0936-5931</v>
      </c>
      <c r="E4501" s="5">
        <v>1.724</v>
      </c>
      <c r="F4501" s="5">
        <v>0.16</v>
      </c>
    </row>
    <row r="4502" spans="2:6" x14ac:dyDescent="0.2">
      <c r="B4502" s="9" t="s">
        <v>11009</v>
      </c>
      <c r="C4502" s="15" t="s">
        <v>11010</v>
      </c>
      <c r="D4502" s="12" t="str">
        <f>"1386-7423"</f>
        <v>1386-7423</v>
      </c>
      <c r="E4502" s="5">
        <v>1.927</v>
      </c>
      <c r="F4502" s="5">
        <v>0.81100000000000005</v>
      </c>
    </row>
    <row r="4503" spans="2:6" x14ac:dyDescent="0.2">
      <c r="B4503" s="9" t="s">
        <v>7785</v>
      </c>
      <c r="C4503" s="15" t="s">
        <v>3733</v>
      </c>
      <c r="D4503" s="12" t="str">
        <f>"0025-7273"</f>
        <v>0025-7273</v>
      </c>
      <c r="E4503" s="5">
        <v>1.419</v>
      </c>
      <c r="F4503" s="5">
        <v>0.70299999999999996</v>
      </c>
    </row>
    <row r="4504" spans="2:6" x14ac:dyDescent="0.2">
      <c r="B4504" s="9" t="s">
        <v>7786</v>
      </c>
      <c r="C4504" s="15" t="s">
        <v>3734</v>
      </c>
      <c r="D4504" s="12" t="str">
        <f>"0306-9877"</f>
        <v>0306-9877</v>
      </c>
      <c r="E4504" s="5">
        <v>1.538</v>
      </c>
      <c r="F4504" s="5">
        <v>0.129</v>
      </c>
    </row>
    <row r="4505" spans="2:6" x14ac:dyDescent="0.2">
      <c r="B4505" s="9" t="s">
        <v>707</v>
      </c>
      <c r="C4505" s="15" t="s">
        <v>708</v>
      </c>
      <c r="D4505" s="12" t="str">
        <f>"1521-3269"</f>
        <v>1521-3269</v>
      </c>
      <c r="E4505" s="5">
        <v>3.8239999999999998</v>
      </c>
      <c r="F4505" s="5">
        <v>0.78700000000000003</v>
      </c>
    </row>
    <row r="4506" spans="2:6" x14ac:dyDescent="0.2">
      <c r="B4506" s="9" t="s">
        <v>7805</v>
      </c>
      <c r="C4506" s="15" t="s">
        <v>3753</v>
      </c>
      <c r="D4506" s="12" t="str">
        <f>"0962-9351"</f>
        <v>0962-9351</v>
      </c>
      <c r="E4506" s="5">
        <v>4.7110000000000003</v>
      </c>
      <c r="F4506" s="5">
        <v>0.59299999999999997</v>
      </c>
    </row>
    <row r="4507" spans="2:6" x14ac:dyDescent="0.2">
      <c r="B4507" s="9" t="s">
        <v>11011</v>
      </c>
      <c r="C4507" s="15" t="s">
        <v>11012</v>
      </c>
      <c r="D4507" s="12" t="str">
        <f>"1555-7960"</f>
        <v>1555-7960</v>
      </c>
      <c r="E4507" s="5">
        <v>0.58299999999999996</v>
      </c>
      <c r="F4507" s="5">
        <v>2.7E-2</v>
      </c>
    </row>
    <row r="4508" spans="2:6" x14ac:dyDescent="0.2">
      <c r="B4508" s="9" t="s">
        <v>7806</v>
      </c>
      <c r="C4508" s="15" t="s">
        <v>3754</v>
      </c>
      <c r="D4508" s="12" t="str">
        <f>"0025-7680"</f>
        <v>0025-7680</v>
      </c>
      <c r="E4508" s="5">
        <v>0.65300000000000002</v>
      </c>
      <c r="F4508" s="5">
        <v>0.108</v>
      </c>
    </row>
    <row r="4509" spans="2:6" x14ac:dyDescent="0.2">
      <c r="B4509" s="9" t="s">
        <v>11013</v>
      </c>
      <c r="C4509" s="15" t="s">
        <v>706</v>
      </c>
      <c r="D4509" s="12" t="str">
        <f>"1010-660X"</f>
        <v>1010-660X</v>
      </c>
      <c r="E4509" s="5">
        <v>2.4300000000000002</v>
      </c>
      <c r="F4509" s="5">
        <v>0.52700000000000002</v>
      </c>
    </row>
    <row r="4510" spans="2:6" x14ac:dyDescent="0.2">
      <c r="B4510" s="9" t="s">
        <v>6863</v>
      </c>
      <c r="C4510" s="15" t="s">
        <v>6863</v>
      </c>
      <c r="D4510" s="12" t="str">
        <f>"0025-7974"</f>
        <v>0025-7974</v>
      </c>
      <c r="E4510" s="5">
        <v>1.889</v>
      </c>
      <c r="F4510" s="5">
        <v>0.41299999999999998</v>
      </c>
    </row>
    <row r="4511" spans="2:6" x14ac:dyDescent="0.2">
      <c r="B4511" s="9" t="s">
        <v>7787</v>
      </c>
      <c r="C4511" s="15" t="s">
        <v>3735</v>
      </c>
      <c r="D4511" s="12" t="str">
        <f>"1361-8415"</f>
        <v>1361-8415</v>
      </c>
      <c r="E4511" s="5">
        <v>8.5449999999999999</v>
      </c>
      <c r="F4511" s="5">
        <v>0.96199999999999997</v>
      </c>
    </row>
    <row r="4512" spans="2:6" x14ac:dyDescent="0.2">
      <c r="B4512" s="9" t="s">
        <v>11014</v>
      </c>
      <c r="C4512" s="15" t="s">
        <v>11015</v>
      </c>
      <c r="D4512" s="12" t="str">
        <f>"0210-5691"</f>
        <v>0210-5691</v>
      </c>
      <c r="E4512" s="5">
        <v>2.4910000000000001</v>
      </c>
      <c r="F4512" s="5">
        <v>0.30599999999999999</v>
      </c>
    </row>
    <row r="4513" spans="2:6" x14ac:dyDescent="0.2">
      <c r="B4513" s="9" t="s">
        <v>11016</v>
      </c>
      <c r="C4513" s="15" t="s">
        <v>11017</v>
      </c>
      <c r="D4513" s="12" t="str">
        <f>"2035-3006"</f>
        <v>2035-3006</v>
      </c>
      <c r="E4513" s="5">
        <v>2.5760000000000001</v>
      </c>
      <c r="F4513" s="5">
        <v>0.29299999999999998</v>
      </c>
    </row>
    <row r="4514" spans="2:6" x14ac:dyDescent="0.2">
      <c r="B4514" s="9" t="s">
        <v>7788</v>
      </c>
      <c r="C4514" s="15" t="s">
        <v>3736</v>
      </c>
      <c r="D4514" s="12" t="str">
        <f>"0025-729X"</f>
        <v>0025-729X</v>
      </c>
      <c r="E4514" s="5">
        <v>7.7380000000000004</v>
      </c>
      <c r="F4514" s="5">
        <v>0.90400000000000003</v>
      </c>
    </row>
    <row r="4515" spans="2:6" x14ac:dyDescent="0.2">
      <c r="B4515" s="9" t="s">
        <v>11018</v>
      </c>
      <c r="C4515" s="15" t="s">
        <v>11019</v>
      </c>
      <c r="D4515" s="12" t="str">
        <f>"2193-6218"</f>
        <v>2193-6218</v>
      </c>
      <c r="E4515" s="5">
        <v>0.84</v>
      </c>
      <c r="F4515" s="5">
        <v>0.16200000000000001</v>
      </c>
    </row>
    <row r="4516" spans="2:6" x14ac:dyDescent="0.2">
      <c r="B4516" s="9" t="s">
        <v>704</v>
      </c>
      <c r="C4516" s="15" t="s">
        <v>705</v>
      </c>
      <c r="D4516" s="12" t="str">
        <f>"0025-7818"</f>
        <v>0025-7818</v>
      </c>
      <c r="E4516" s="5">
        <v>1.2749999999999999</v>
      </c>
      <c r="F4516" s="5">
        <v>0.13300000000000001</v>
      </c>
    </row>
    <row r="4517" spans="2:6" x14ac:dyDescent="0.2">
      <c r="B4517" s="9" t="s">
        <v>11020</v>
      </c>
      <c r="C4517" s="15" t="s">
        <v>11021</v>
      </c>
      <c r="D4517" s="12" t="str">
        <f>"0967-0742"</f>
        <v>0967-0742</v>
      </c>
      <c r="E4517" s="5">
        <v>1.2669999999999999</v>
      </c>
      <c r="F4517" s="5">
        <v>0.46400000000000002</v>
      </c>
    </row>
    <row r="4518" spans="2:6" x14ac:dyDescent="0.2">
      <c r="B4518" s="9" t="s">
        <v>7789</v>
      </c>
      <c r="C4518" s="15" t="s">
        <v>3737</v>
      </c>
      <c r="D4518" s="12" t="str">
        <f>"0025-732X"</f>
        <v>0025-732X</v>
      </c>
      <c r="E4518" s="5">
        <v>1.909</v>
      </c>
      <c r="F4518" s="5">
        <v>0.185</v>
      </c>
    </row>
    <row r="4519" spans="2:6" x14ac:dyDescent="0.2">
      <c r="B4519" s="9" t="s">
        <v>7790</v>
      </c>
      <c r="C4519" s="15" t="s">
        <v>3738</v>
      </c>
      <c r="D4519" s="12" t="str">
        <f>"0399-077X"</f>
        <v>0399-077X</v>
      </c>
      <c r="E4519" s="5">
        <v>2.1520000000000001</v>
      </c>
      <c r="F4519" s="5">
        <v>0.19600000000000001</v>
      </c>
    </row>
    <row r="4520" spans="2:6" x14ac:dyDescent="0.2">
      <c r="B4520" s="9" t="s">
        <v>7791</v>
      </c>
      <c r="C4520" s="15" t="s">
        <v>3739</v>
      </c>
      <c r="D4520" s="12" t="str">
        <f>"0300-8584"</f>
        <v>0300-8584</v>
      </c>
      <c r="E4520" s="5">
        <v>3.4020000000000001</v>
      </c>
      <c r="F4520" s="5">
        <v>0.46700000000000003</v>
      </c>
    </row>
    <row r="4521" spans="2:6" x14ac:dyDescent="0.2">
      <c r="B4521" s="9" t="s">
        <v>7792</v>
      </c>
      <c r="C4521" s="15" t="s">
        <v>3740</v>
      </c>
      <c r="D4521" s="12" t="str">
        <f>"1860-1480"</f>
        <v>1860-1480</v>
      </c>
      <c r="E4521" s="5">
        <v>2.3090000000000002</v>
      </c>
      <c r="F4521" s="5">
        <v>0.42899999999999999</v>
      </c>
    </row>
    <row r="4522" spans="2:6" x14ac:dyDescent="0.2">
      <c r="B4522" s="9" t="s">
        <v>7793</v>
      </c>
      <c r="C4522" s="15" t="s">
        <v>3741</v>
      </c>
      <c r="D4522" s="12" t="str">
        <f>"1369-3786"</f>
        <v>1369-3786</v>
      </c>
      <c r="E4522" s="5">
        <v>4.0759999999999996</v>
      </c>
      <c r="F4522" s="5">
        <v>0.96599999999999997</v>
      </c>
    </row>
    <row r="4523" spans="2:6" x14ac:dyDescent="0.2">
      <c r="B4523" s="9" t="s">
        <v>11022</v>
      </c>
      <c r="C4523" s="15" t="s">
        <v>11023</v>
      </c>
      <c r="D4523" s="12" t="str">
        <f>"0928-1258"</f>
        <v>0928-1258</v>
      </c>
      <c r="E4523" s="5">
        <v>0.26300000000000001</v>
      </c>
      <c r="F4523" s="5">
        <v>2.5999999999999999E-2</v>
      </c>
    </row>
    <row r="4524" spans="2:6" x14ac:dyDescent="0.2">
      <c r="B4524" s="9" t="s">
        <v>7794</v>
      </c>
      <c r="C4524" s="15" t="s">
        <v>3742</v>
      </c>
      <c r="D4524" s="12" t="str">
        <f>"1357-0560"</f>
        <v>1357-0560</v>
      </c>
      <c r="E4524" s="5">
        <v>3.0640000000000001</v>
      </c>
      <c r="F4524" s="5">
        <v>0.26100000000000001</v>
      </c>
    </row>
    <row r="4525" spans="2:6" x14ac:dyDescent="0.2">
      <c r="B4525" s="9" t="s">
        <v>11024</v>
      </c>
      <c r="C4525" s="15" t="s">
        <v>11025</v>
      </c>
      <c r="D4525" s="12" t="str">
        <f>"1698-6946"</f>
        <v>1698-6946</v>
      </c>
      <c r="E4525" s="5">
        <v>2.0470000000000002</v>
      </c>
      <c r="F4525" s="5">
        <v>0.33</v>
      </c>
    </row>
    <row r="4526" spans="2:6" x14ac:dyDescent="0.2">
      <c r="B4526" s="9" t="s">
        <v>7795</v>
      </c>
      <c r="C4526" s="15" t="s">
        <v>3743</v>
      </c>
      <c r="D4526" s="12" t="str">
        <f>"2473-4209"</f>
        <v>2473-4209</v>
      </c>
      <c r="E4526" s="5">
        <v>4.0709999999999997</v>
      </c>
      <c r="F4526" s="5">
        <v>0.76700000000000002</v>
      </c>
    </row>
    <row r="4527" spans="2:6" x14ac:dyDescent="0.2">
      <c r="B4527" s="9" t="s">
        <v>11026</v>
      </c>
      <c r="C4527" s="15" t="s">
        <v>11027</v>
      </c>
      <c r="D4527" s="12" t="str">
        <f>"0465-5893"</f>
        <v>0465-5893</v>
      </c>
      <c r="E4527" s="5">
        <v>0.76</v>
      </c>
      <c r="F4527" s="5">
        <v>4.8000000000000001E-2</v>
      </c>
    </row>
    <row r="4528" spans="2:6" x14ac:dyDescent="0.2">
      <c r="B4528" s="9" t="s">
        <v>7796</v>
      </c>
      <c r="C4528" s="15" t="s">
        <v>3744</v>
      </c>
      <c r="D4528" s="12" t="str">
        <f>"1423-0151"</f>
        <v>1423-0151</v>
      </c>
      <c r="E4528" s="5">
        <v>1.927</v>
      </c>
      <c r="F4528" s="5">
        <v>0.42499999999999999</v>
      </c>
    </row>
    <row r="4529" spans="2:6" x14ac:dyDescent="0.2">
      <c r="B4529" s="9" t="s">
        <v>7797</v>
      </c>
      <c r="C4529" s="15" t="s">
        <v>3745</v>
      </c>
      <c r="D4529" s="12" t="str">
        <f>"1938-2766"</f>
        <v>1938-2766</v>
      </c>
      <c r="E4529" s="5">
        <v>1.1060000000000001</v>
      </c>
      <c r="F4529" s="5">
        <v>0.222</v>
      </c>
    </row>
    <row r="4530" spans="2:6" x14ac:dyDescent="0.2">
      <c r="B4530" s="9" t="s">
        <v>7798</v>
      </c>
      <c r="C4530" s="15" t="s">
        <v>3746</v>
      </c>
      <c r="D4530" s="12" t="str">
        <f>"0198-6325"</f>
        <v>0198-6325</v>
      </c>
      <c r="E4530" s="5">
        <v>12.944000000000001</v>
      </c>
      <c r="F4530" s="5">
        <v>0.98399999999999999</v>
      </c>
    </row>
    <row r="4531" spans="2:6" x14ac:dyDescent="0.2">
      <c r="B4531" s="9" t="s">
        <v>7799</v>
      </c>
      <c r="C4531" s="15" t="s">
        <v>3747</v>
      </c>
      <c r="D4531" s="12" t="str">
        <f>"0025-8024"</f>
        <v>0025-8024</v>
      </c>
      <c r="E4531" s="5">
        <v>1.266</v>
      </c>
      <c r="F4531" s="5">
        <v>0.45700000000000002</v>
      </c>
    </row>
    <row r="4532" spans="2:6" x14ac:dyDescent="0.2">
      <c r="B4532" s="9" t="s">
        <v>7800</v>
      </c>
      <c r="C4532" s="15" t="s">
        <v>3748</v>
      </c>
      <c r="D4532" s="12" t="str">
        <f>"1643-3750"</f>
        <v>1643-3750</v>
      </c>
      <c r="E4532" s="5">
        <v>2.649</v>
      </c>
      <c r="F4532" s="5">
        <v>0.314</v>
      </c>
    </row>
    <row r="4533" spans="2:6" x14ac:dyDescent="0.2">
      <c r="B4533" s="9" t="s">
        <v>7801</v>
      </c>
      <c r="C4533" s="15" t="s">
        <v>3749</v>
      </c>
      <c r="D4533" s="12" t="str">
        <f>"0195-9131"</f>
        <v>0195-9131</v>
      </c>
      <c r="E4533" s="5">
        <v>5.4109999999999996</v>
      </c>
      <c r="F4533" s="5">
        <v>0.92</v>
      </c>
    </row>
    <row r="4534" spans="2:6" x14ac:dyDescent="0.2">
      <c r="B4534" s="9" t="s">
        <v>7802</v>
      </c>
      <c r="C4534" s="15" t="s">
        <v>3750</v>
      </c>
      <c r="D4534" s="12" t="str">
        <f>"0025-7826"</f>
        <v>0025-7826</v>
      </c>
      <c r="E4534" s="5">
        <v>0.72299999999999998</v>
      </c>
      <c r="F4534" s="5">
        <v>0.12</v>
      </c>
    </row>
    <row r="4535" spans="2:6" x14ac:dyDescent="0.2">
      <c r="B4535" s="9" t="s">
        <v>7803</v>
      </c>
      <c r="C4535" s="15" t="s">
        <v>3751</v>
      </c>
      <c r="D4535" s="12" t="str">
        <f>"0142-159X"</f>
        <v>0142-159X</v>
      </c>
      <c r="E4535" s="5">
        <v>3.65</v>
      </c>
      <c r="F4535" s="5">
        <v>0.86</v>
      </c>
    </row>
    <row r="4536" spans="2:6" x14ac:dyDescent="0.2">
      <c r="B4536" s="9" t="s">
        <v>11028</v>
      </c>
      <c r="C4536" s="15" t="s">
        <v>11029</v>
      </c>
      <c r="D4536" s="12" t="str">
        <f>"1844-4172"</f>
        <v>1844-4172</v>
      </c>
      <c r="E4536" s="5">
        <v>1.611</v>
      </c>
      <c r="F4536" s="5">
        <v>0.48399999999999999</v>
      </c>
    </row>
    <row r="4537" spans="2:6" x14ac:dyDescent="0.2">
      <c r="B4537" s="9" t="s">
        <v>7804</v>
      </c>
      <c r="C4537" s="15" t="s">
        <v>3752</v>
      </c>
      <c r="D4537" s="12" t="str">
        <f>"0269-283X"</f>
        <v>0269-283X</v>
      </c>
      <c r="E4537" s="5">
        <v>2.7389999999999999</v>
      </c>
      <c r="F4537" s="5">
        <v>0.85599999999999998</v>
      </c>
    </row>
    <row r="4538" spans="2:6" x14ac:dyDescent="0.2">
      <c r="B4538" s="9" t="s">
        <v>11030</v>
      </c>
      <c r="C4538" s="15" t="s">
        <v>11031</v>
      </c>
      <c r="D4538" s="12" t="str">
        <f>"0025-8628"</f>
        <v>0025-8628</v>
      </c>
      <c r="E4538" s="5">
        <v>0.38300000000000001</v>
      </c>
      <c r="F4538" s="5">
        <v>0.11</v>
      </c>
    </row>
    <row r="4539" spans="2:6" x14ac:dyDescent="0.2">
      <c r="B4539" s="9" t="s">
        <v>6864</v>
      </c>
      <c r="C4539" s="15" t="s">
        <v>3755</v>
      </c>
      <c r="D4539" s="12" t="str">
        <f>"0960-8931"</f>
        <v>0960-8931</v>
      </c>
      <c r="E4539" s="5">
        <v>3.5990000000000002</v>
      </c>
      <c r="F4539" s="5">
        <v>0.70599999999999996</v>
      </c>
    </row>
    <row r="4540" spans="2:6" x14ac:dyDescent="0.2">
      <c r="B4540" s="9" t="s">
        <v>709</v>
      </c>
      <c r="C4540" s="15" t="s">
        <v>710</v>
      </c>
      <c r="D4540" s="12" t="str">
        <f>"1532-5946"</f>
        <v>1532-5946</v>
      </c>
      <c r="E4540" s="5">
        <v>2.2719999999999998</v>
      </c>
      <c r="F4540" s="5">
        <v>0.433</v>
      </c>
    </row>
    <row r="4541" spans="2:6" x14ac:dyDescent="0.2">
      <c r="B4541" s="9" t="s">
        <v>6865</v>
      </c>
      <c r="C4541" s="15" t="s">
        <v>3756</v>
      </c>
      <c r="D4541" s="12" t="str">
        <f>"0074-0276"</f>
        <v>0074-0276</v>
      </c>
      <c r="E4541" s="5">
        <v>2.7429999999999999</v>
      </c>
      <c r="F4541" s="5">
        <v>0.69599999999999995</v>
      </c>
    </row>
    <row r="4542" spans="2:6" x14ac:dyDescent="0.2">
      <c r="B4542" s="9" t="s">
        <v>711</v>
      </c>
      <c r="C4542" s="15" t="s">
        <v>711</v>
      </c>
      <c r="D4542" s="12" t="str">
        <f>"0965-8211"</f>
        <v>0965-8211</v>
      </c>
      <c r="E4542" s="5">
        <v>2.09</v>
      </c>
      <c r="F4542" s="5">
        <v>0.36699999999999999</v>
      </c>
    </row>
    <row r="4543" spans="2:6" x14ac:dyDescent="0.2">
      <c r="B4543" s="9" t="s">
        <v>6866</v>
      </c>
      <c r="C4543" s="15" t="s">
        <v>3757</v>
      </c>
      <c r="D4543" s="12" t="str">
        <f>"0959-9436"</f>
        <v>0959-9436</v>
      </c>
      <c r="E4543" s="5">
        <v>1.786</v>
      </c>
      <c r="F4543" s="5">
        <v>0.29799999999999999</v>
      </c>
    </row>
    <row r="4544" spans="2:6" x14ac:dyDescent="0.2">
      <c r="B4544" s="9" t="s">
        <v>6867</v>
      </c>
      <c r="C4544" s="15" t="s">
        <v>3758</v>
      </c>
      <c r="D4544" s="12" t="str">
        <f>"1072-3714"</f>
        <v>1072-3714</v>
      </c>
      <c r="E4544" s="5">
        <v>2.9529999999999998</v>
      </c>
      <c r="F4544" s="5">
        <v>0.60199999999999998</v>
      </c>
    </row>
    <row r="4545" spans="2:6" x14ac:dyDescent="0.2">
      <c r="B4545" s="9" t="s">
        <v>11032</v>
      </c>
      <c r="C4545" s="15" t="s">
        <v>11033</v>
      </c>
      <c r="D4545" s="12" t="str">
        <f>"1755-2966"</f>
        <v>1755-2966</v>
      </c>
      <c r="E4545" s="5">
        <v>3.1970000000000001</v>
      </c>
      <c r="F4545" s="5">
        <v>0.54200000000000004</v>
      </c>
    </row>
    <row r="4546" spans="2:6" x14ac:dyDescent="0.2">
      <c r="B4546" s="9" t="s">
        <v>712</v>
      </c>
      <c r="C4546" s="15" t="s">
        <v>713</v>
      </c>
      <c r="D4546" s="12" t="str">
        <f>"0272-930X"</f>
        <v>0272-930X</v>
      </c>
      <c r="E4546" s="5">
        <v>0.76900000000000002</v>
      </c>
      <c r="F4546" s="5">
        <v>5.1999999999999998E-2</v>
      </c>
    </row>
    <row r="4547" spans="2:6" x14ac:dyDescent="0.2">
      <c r="B4547" s="9" t="s">
        <v>6868</v>
      </c>
      <c r="C4547" s="15" t="s">
        <v>3759</v>
      </c>
      <c r="D4547" s="12" t="str">
        <f>"0885-7490"</f>
        <v>0885-7490</v>
      </c>
      <c r="E4547" s="5">
        <v>3.5840000000000001</v>
      </c>
      <c r="F4547" s="5">
        <v>0.48399999999999999</v>
      </c>
    </row>
    <row r="4548" spans="2:6" x14ac:dyDescent="0.2">
      <c r="B4548" s="9" t="s">
        <v>6869</v>
      </c>
      <c r="C4548" s="15" t="s">
        <v>3760</v>
      </c>
      <c r="D4548" s="12" t="str">
        <f>"1096-7176"</f>
        <v>1096-7176</v>
      </c>
      <c r="E4548" s="5">
        <v>9.7829999999999995</v>
      </c>
      <c r="F4548" s="5">
        <v>0.94299999999999995</v>
      </c>
    </row>
    <row r="4549" spans="2:6" x14ac:dyDescent="0.2">
      <c r="B4549" s="9" t="s">
        <v>6870</v>
      </c>
      <c r="C4549" s="15" t="s">
        <v>3761</v>
      </c>
      <c r="D4549" s="12" t="str">
        <f>"0026-0495"</f>
        <v>0026-0495</v>
      </c>
      <c r="E4549" s="5">
        <v>8.6940000000000008</v>
      </c>
      <c r="F4549" s="5">
        <v>0.91700000000000004</v>
      </c>
    </row>
    <row r="4550" spans="2:6" x14ac:dyDescent="0.2">
      <c r="B4550" s="9" t="s">
        <v>11034</v>
      </c>
      <c r="C4550" s="15" t="s">
        <v>11035</v>
      </c>
      <c r="D4550" s="12" t="str">
        <f>"2218-1989"</f>
        <v>2218-1989</v>
      </c>
      <c r="E4550" s="5">
        <v>4.9320000000000004</v>
      </c>
      <c r="F4550" s="5">
        <v>0.68600000000000005</v>
      </c>
    </row>
    <row r="4551" spans="2:6" x14ac:dyDescent="0.2">
      <c r="B4551" s="9" t="s">
        <v>714</v>
      </c>
      <c r="C4551" s="15" t="s">
        <v>715</v>
      </c>
      <c r="D4551" s="12" t="str">
        <f>"1573-3882"</f>
        <v>1573-3882</v>
      </c>
      <c r="E4551" s="5">
        <v>4.29</v>
      </c>
      <c r="F4551" s="5">
        <v>0.59299999999999997</v>
      </c>
    </row>
    <row r="4552" spans="2:6" x14ac:dyDescent="0.2">
      <c r="B4552" s="9" t="s">
        <v>11036</v>
      </c>
      <c r="C4552" s="15" t="s">
        <v>11037</v>
      </c>
      <c r="D4552" s="12" t="str">
        <f>"1540-4196"</f>
        <v>1540-4196</v>
      </c>
      <c r="E4552" s="5">
        <v>1.8939999999999999</v>
      </c>
      <c r="F4552" s="5">
        <v>0.186</v>
      </c>
    </row>
    <row r="4553" spans="2:6" x14ac:dyDescent="0.2">
      <c r="B4553" s="9" t="s">
        <v>11038</v>
      </c>
      <c r="C4553" s="15" t="s">
        <v>11039</v>
      </c>
      <c r="D4553" s="12" t="str">
        <f>"1556-1623"</f>
        <v>1556-1623</v>
      </c>
      <c r="E4553" s="5">
        <v>3.4209999999999998</v>
      </c>
      <c r="F4553" s="5">
        <v>0.78400000000000003</v>
      </c>
    </row>
    <row r="4554" spans="2:6" x14ac:dyDescent="0.2">
      <c r="B4554" s="9" t="s">
        <v>11040</v>
      </c>
      <c r="C4554" s="15" t="s">
        <v>11041</v>
      </c>
      <c r="D4554" s="12" t="str">
        <f>"1756-5901"</f>
        <v>1756-5901</v>
      </c>
      <c r="E4554" s="5">
        <v>4.5259999999999998</v>
      </c>
      <c r="F4554" s="5">
        <v>0.63500000000000001</v>
      </c>
    </row>
    <row r="4555" spans="2:6" x14ac:dyDescent="0.2">
      <c r="B4555" s="9" t="s">
        <v>6871</v>
      </c>
      <c r="C4555" s="15" t="s">
        <v>11042</v>
      </c>
      <c r="D4555" s="12" t="str">
        <f>"0091-679X"</f>
        <v>0091-679X</v>
      </c>
      <c r="E4555" s="5">
        <v>1.4410000000000001</v>
      </c>
      <c r="F4555" s="5">
        <v>4.1000000000000002E-2</v>
      </c>
    </row>
    <row r="4556" spans="2:6" x14ac:dyDescent="0.2">
      <c r="B4556" s="9" t="s">
        <v>6872</v>
      </c>
      <c r="C4556" s="15" t="s">
        <v>11043</v>
      </c>
      <c r="D4556" s="12" t="str">
        <f>"0076-6879"</f>
        <v>0076-6879</v>
      </c>
      <c r="E4556" s="5">
        <v>1.6</v>
      </c>
      <c r="F4556" s="5">
        <v>0.104</v>
      </c>
    </row>
    <row r="4557" spans="2:6" x14ac:dyDescent="0.2">
      <c r="B4557" s="9" t="s">
        <v>6873</v>
      </c>
      <c r="C4557" s="15" t="s">
        <v>3762</v>
      </c>
      <c r="D4557" s="12" t="str">
        <f>"0026-1270"</f>
        <v>0026-1270</v>
      </c>
      <c r="E4557" s="5">
        <v>2.1760000000000002</v>
      </c>
      <c r="F4557" s="5">
        <v>0.35399999999999998</v>
      </c>
    </row>
    <row r="4558" spans="2:6" x14ac:dyDescent="0.2">
      <c r="B4558" s="9" t="s">
        <v>11044</v>
      </c>
      <c r="C4558" s="15" t="s">
        <v>11045</v>
      </c>
      <c r="D4558" s="12" t="str">
        <f>"0580-9517"</f>
        <v>0580-9517</v>
      </c>
      <c r="E4558" s="5">
        <v>3.0430000000000001</v>
      </c>
      <c r="F4558" s="5">
        <v>0.46800000000000003</v>
      </c>
    </row>
    <row r="4559" spans="2:6" x14ac:dyDescent="0.2">
      <c r="B4559" s="9" t="s">
        <v>6874</v>
      </c>
      <c r="C4559" s="15" t="s">
        <v>3763</v>
      </c>
      <c r="D4559" s="12" t="str">
        <f>"1387-5841"</f>
        <v>1387-5841</v>
      </c>
      <c r="E4559" s="5">
        <v>1.147</v>
      </c>
      <c r="F4559" s="5">
        <v>0.34399999999999997</v>
      </c>
    </row>
    <row r="4560" spans="2:6" ht="25.5" x14ac:dyDescent="0.2">
      <c r="B4560" s="9" t="s">
        <v>11046</v>
      </c>
      <c r="C4560" s="15" t="s">
        <v>11047</v>
      </c>
      <c r="D4560" s="12" t="str">
        <f>"1614-1881"</f>
        <v>1614-1881</v>
      </c>
      <c r="E4560" s="5">
        <v>1.865</v>
      </c>
      <c r="F4560" s="5">
        <v>0.40400000000000003</v>
      </c>
    </row>
    <row r="4561" spans="2:6" x14ac:dyDescent="0.2">
      <c r="B4561" s="9" t="s">
        <v>6875</v>
      </c>
      <c r="C4561" s="15" t="s">
        <v>6875</v>
      </c>
      <c r="D4561" s="12" t="str">
        <f>"1046-2023"</f>
        <v>1046-2023</v>
      </c>
      <c r="E4561" s="5">
        <v>3.6080000000000001</v>
      </c>
      <c r="F4561" s="5">
        <v>0.66200000000000003</v>
      </c>
    </row>
    <row r="4562" spans="2:6" x14ac:dyDescent="0.2">
      <c r="B4562" s="9" t="s">
        <v>11048</v>
      </c>
      <c r="C4562" s="15" t="s">
        <v>11049</v>
      </c>
      <c r="D4562" s="12" t="str">
        <f>"2050-6120"</f>
        <v>2050-6120</v>
      </c>
      <c r="E4562" s="5">
        <v>3.0089999999999999</v>
      </c>
      <c r="F4562" s="5">
        <v>0.50600000000000001</v>
      </c>
    </row>
    <row r="4563" spans="2:6" x14ac:dyDescent="0.2">
      <c r="B4563" s="9" t="s">
        <v>6876</v>
      </c>
      <c r="C4563" s="15" t="s">
        <v>6876</v>
      </c>
      <c r="D4563" s="12" t="str">
        <f>"0026-1335"</f>
        <v>0026-1335</v>
      </c>
      <c r="E4563" s="5">
        <v>1.0569999999999999</v>
      </c>
      <c r="F4563" s="5">
        <v>0.28799999999999998</v>
      </c>
    </row>
    <row r="4564" spans="2:6" x14ac:dyDescent="0.2">
      <c r="B4564" s="9" t="s">
        <v>11050</v>
      </c>
      <c r="C4564" s="15" t="s">
        <v>11051</v>
      </c>
      <c r="D4564" s="12" t="str">
        <f>"1751-7915"</f>
        <v>1751-7915</v>
      </c>
      <c r="E4564" s="5">
        <v>5.8129999999999997</v>
      </c>
      <c r="F4564" s="5">
        <v>0.86699999999999999</v>
      </c>
    </row>
    <row r="4565" spans="2:6" x14ac:dyDescent="0.2">
      <c r="B4565" s="9" t="s">
        <v>716</v>
      </c>
      <c r="C4565" s="15" t="s">
        <v>717</v>
      </c>
      <c r="D4565" s="12" t="str">
        <f>"1475-2859"</f>
        <v>1475-2859</v>
      </c>
      <c r="E4565" s="5">
        <v>5.3280000000000003</v>
      </c>
      <c r="F4565" s="5">
        <v>0.82299999999999995</v>
      </c>
    </row>
    <row r="4566" spans="2:6" x14ac:dyDescent="0.2">
      <c r="B4566" s="9" t="s">
        <v>6877</v>
      </c>
      <c r="C4566" s="15" t="s">
        <v>11052</v>
      </c>
      <c r="D4566" s="12" t="str">
        <f>"1076-6294"</f>
        <v>1076-6294</v>
      </c>
      <c r="E4566" s="5">
        <v>3.431</v>
      </c>
      <c r="F4566" s="5">
        <v>0.498</v>
      </c>
    </row>
    <row r="4567" spans="2:6" x14ac:dyDescent="0.2">
      <c r="B4567" s="9" t="s">
        <v>6878</v>
      </c>
      <c r="C4567" s="15" t="s">
        <v>3764</v>
      </c>
      <c r="D4567" s="12" t="str">
        <f>"0095-3628"</f>
        <v>0095-3628</v>
      </c>
      <c r="E4567" s="5">
        <v>4.5519999999999996</v>
      </c>
      <c r="F4567" s="5">
        <v>0.93600000000000005</v>
      </c>
    </row>
    <row r="4568" spans="2:6" x14ac:dyDescent="0.2">
      <c r="B4568" s="9" t="s">
        <v>718</v>
      </c>
      <c r="C4568" s="15" t="s">
        <v>719</v>
      </c>
      <c r="D4568" s="12" t="str">
        <f>"1342-6311"</f>
        <v>1342-6311</v>
      </c>
      <c r="E4568" s="5">
        <v>2.9119999999999999</v>
      </c>
      <c r="F4568" s="5">
        <v>0.443</v>
      </c>
    </row>
    <row r="4569" spans="2:6" x14ac:dyDescent="0.2">
      <c r="B4569" s="9" t="s">
        <v>6880</v>
      </c>
      <c r="C4569" s="15" t="s">
        <v>3766</v>
      </c>
      <c r="D4569" s="12" t="str">
        <f>"1286-4579"</f>
        <v>1286-4579</v>
      </c>
      <c r="E4569" s="5">
        <v>2.7</v>
      </c>
      <c r="F4569" s="5">
        <v>0.30399999999999999</v>
      </c>
    </row>
    <row r="4570" spans="2:6" x14ac:dyDescent="0.2">
      <c r="B4570" s="9" t="s">
        <v>11053</v>
      </c>
      <c r="C4570" s="15" t="s">
        <v>11054</v>
      </c>
      <c r="D4570" s="12" t="str">
        <f>"2057-5858"</f>
        <v>2057-5858</v>
      </c>
      <c r="E4570" s="5">
        <v>5.2370000000000001</v>
      </c>
      <c r="F4570" s="5">
        <v>0.79400000000000004</v>
      </c>
    </row>
    <row r="4571" spans="2:6" x14ac:dyDescent="0.2">
      <c r="B4571" s="9" t="s">
        <v>6881</v>
      </c>
      <c r="C4571" s="15" t="s">
        <v>3767</v>
      </c>
      <c r="D4571" s="12" t="str">
        <f>"0385-5600"</f>
        <v>0385-5600</v>
      </c>
      <c r="E4571" s="5">
        <v>1.9550000000000001</v>
      </c>
      <c r="F4571" s="5">
        <v>0.11899999999999999</v>
      </c>
    </row>
    <row r="4572" spans="2:6" x14ac:dyDescent="0.2">
      <c r="B4572" s="9" t="s">
        <v>6882</v>
      </c>
      <c r="C4572" s="15" t="s">
        <v>3768</v>
      </c>
      <c r="D4572" s="12" t="str">
        <f>"1092-2172"</f>
        <v>1092-2172</v>
      </c>
      <c r="E4572" s="5">
        <v>11.055999999999999</v>
      </c>
      <c r="F4572" s="5">
        <v>0.94099999999999995</v>
      </c>
    </row>
    <row r="4573" spans="2:6" x14ac:dyDescent="0.2">
      <c r="B4573" s="9" t="s">
        <v>6884</v>
      </c>
      <c r="C4573" s="15" t="s">
        <v>3770</v>
      </c>
      <c r="D4573" s="12" t="str">
        <f>"0026-2617"</f>
        <v>0026-2617</v>
      </c>
      <c r="E4573" s="5">
        <v>1.1559999999999999</v>
      </c>
      <c r="F4573" s="5">
        <v>5.8999999999999997E-2</v>
      </c>
    </row>
    <row r="4574" spans="2:6" x14ac:dyDescent="0.2">
      <c r="B4574" s="9" t="s">
        <v>11055</v>
      </c>
      <c r="C4574" s="15" t="s">
        <v>11056</v>
      </c>
      <c r="D4574" s="12" t="str">
        <f>"2045-8827"</f>
        <v>2045-8827</v>
      </c>
      <c r="E4574" s="5">
        <v>3.1389999999999998</v>
      </c>
      <c r="F4574" s="5">
        <v>0.39300000000000002</v>
      </c>
    </row>
    <row r="4575" spans="2:6" x14ac:dyDescent="0.2">
      <c r="B4575" s="9" t="s">
        <v>6883</v>
      </c>
      <c r="C4575" s="15" t="s">
        <v>3769</v>
      </c>
      <c r="D4575" s="12" t="str">
        <f>"0944-5013"</f>
        <v>0944-5013</v>
      </c>
      <c r="E4575" s="5">
        <v>5.415</v>
      </c>
      <c r="F4575" s="5">
        <v>0.77</v>
      </c>
    </row>
    <row r="4576" spans="2:6" x14ac:dyDescent="0.2">
      <c r="B4576" s="9" t="s">
        <v>11057</v>
      </c>
      <c r="C4576" s="15" t="s">
        <v>11058</v>
      </c>
      <c r="D4576" s="12" t="str">
        <f>"2352-3522"</f>
        <v>2352-3522</v>
      </c>
      <c r="E4576" s="5">
        <v>2</v>
      </c>
      <c r="F4576" s="5">
        <v>0.315</v>
      </c>
    </row>
    <row r="4577" spans="2:6" x14ac:dyDescent="0.2">
      <c r="B4577" s="9" t="s">
        <v>6885</v>
      </c>
      <c r="C4577" s="15" t="s">
        <v>3771</v>
      </c>
      <c r="D4577" s="12" t="str">
        <f>"1350-0872"</f>
        <v>1350-0872</v>
      </c>
      <c r="E4577" s="5">
        <v>2.7770000000000001</v>
      </c>
      <c r="F4577" s="5">
        <v>0.31900000000000001</v>
      </c>
    </row>
    <row r="4578" spans="2:6" x14ac:dyDescent="0.2">
      <c r="B4578" s="9" t="s">
        <v>11059</v>
      </c>
      <c r="C4578" s="15" t="s">
        <v>11060</v>
      </c>
      <c r="D4578" s="12" t="str">
        <f>"2165-0497"</f>
        <v>2165-0497</v>
      </c>
      <c r="E4578" s="5">
        <v>7.1710000000000003</v>
      </c>
      <c r="F4578" s="5">
        <v>0.874</v>
      </c>
    </row>
    <row r="4579" spans="2:6" x14ac:dyDescent="0.2">
      <c r="B4579" s="9" t="s">
        <v>11061</v>
      </c>
      <c r="C4579" s="15" t="s">
        <v>11062</v>
      </c>
      <c r="D4579" s="12" t="str">
        <f>"2049-2618"</f>
        <v>2049-2618</v>
      </c>
      <c r="E4579" s="5">
        <v>14.65</v>
      </c>
      <c r="F4579" s="5">
        <v>0.94799999999999995</v>
      </c>
    </row>
    <row r="4580" spans="2:6" x14ac:dyDescent="0.2">
      <c r="B4580" s="9" t="s">
        <v>6879</v>
      </c>
      <c r="C4580" s="15" t="s">
        <v>3765</v>
      </c>
      <c r="D4580" s="12" t="str">
        <f>"0882-4010"</f>
        <v>0882-4010</v>
      </c>
      <c r="E4580" s="5">
        <v>3.738</v>
      </c>
      <c r="F4580" s="5">
        <v>0.56999999999999995</v>
      </c>
    </row>
    <row r="4581" spans="2:6" x14ac:dyDescent="0.2">
      <c r="B4581" s="9" t="s">
        <v>6886</v>
      </c>
      <c r="C4581" s="15" t="s">
        <v>3772</v>
      </c>
      <c r="D4581" s="12" t="str">
        <f>"0026-265X"</f>
        <v>0026-265X</v>
      </c>
      <c r="E4581" s="5">
        <v>4.8209999999999997</v>
      </c>
      <c r="F4581" s="5">
        <v>0.81899999999999995</v>
      </c>
    </row>
    <row r="4582" spans="2:6" x14ac:dyDescent="0.2">
      <c r="B4582" s="9" t="s">
        <v>6887</v>
      </c>
      <c r="C4582" s="15" t="s">
        <v>3773</v>
      </c>
      <c r="D4582" s="12" t="str">
        <f>"0026-3672"</f>
        <v>0026-3672</v>
      </c>
      <c r="E4582" s="5">
        <v>5.8330000000000002</v>
      </c>
      <c r="F4582" s="5">
        <v>0.85499999999999998</v>
      </c>
    </row>
    <row r="4583" spans="2:6" x14ac:dyDescent="0.2">
      <c r="B4583" s="9" t="s">
        <v>6888</v>
      </c>
      <c r="C4583" s="15" t="s">
        <v>6888</v>
      </c>
      <c r="D4583" s="12" t="str">
        <f>"1073-9688"</f>
        <v>1073-9688</v>
      </c>
      <c r="E4583" s="5">
        <v>2.6280000000000001</v>
      </c>
      <c r="F4583" s="5">
        <v>0.35399999999999998</v>
      </c>
    </row>
    <row r="4584" spans="2:6" x14ac:dyDescent="0.2">
      <c r="B4584" s="9" t="s">
        <v>6889</v>
      </c>
      <c r="C4584" s="15" t="s">
        <v>3774</v>
      </c>
      <c r="D4584" s="12" t="str">
        <f>"0167-9317"</f>
        <v>0167-9317</v>
      </c>
      <c r="E4584" s="5">
        <v>2.5230000000000001</v>
      </c>
      <c r="F4584" s="5">
        <v>0.59599999999999997</v>
      </c>
    </row>
    <row r="4585" spans="2:6" x14ac:dyDescent="0.2">
      <c r="B4585" s="9" t="s">
        <v>11063</v>
      </c>
      <c r="C4585" s="15" t="s">
        <v>11064</v>
      </c>
      <c r="D4585" s="12" t="str">
        <f>"2072-666X"</f>
        <v>2072-666X</v>
      </c>
      <c r="E4585" s="5">
        <v>2.891</v>
      </c>
      <c r="F4585" s="5">
        <v>0.65600000000000003</v>
      </c>
    </row>
    <row r="4586" spans="2:6" x14ac:dyDescent="0.2">
      <c r="B4586" s="9" t="s">
        <v>6890</v>
      </c>
      <c r="C4586" s="15" t="s">
        <v>6890</v>
      </c>
      <c r="D4586" s="12" t="str">
        <f>"0968-4328"</f>
        <v>0968-4328</v>
      </c>
      <c r="E4586" s="5">
        <v>2.2509999999999999</v>
      </c>
      <c r="F4586" s="5">
        <v>0.55600000000000005</v>
      </c>
    </row>
    <row r="4587" spans="2:6" x14ac:dyDescent="0.2">
      <c r="B4587" s="9" t="s">
        <v>11065</v>
      </c>
      <c r="C4587" s="15" t="s">
        <v>11066</v>
      </c>
      <c r="D4587" s="12" t="str">
        <f>"2076-2607"</f>
        <v>2076-2607</v>
      </c>
      <c r="E4587" s="5">
        <v>4.1280000000000001</v>
      </c>
      <c r="F4587" s="5">
        <v>0.622</v>
      </c>
    </row>
    <row r="4588" spans="2:6" x14ac:dyDescent="0.2">
      <c r="B4588" s="9" t="s">
        <v>6891</v>
      </c>
      <c r="C4588" s="15" t="s">
        <v>3775</v>
      </c>
      <c r="D4588" s="12" t="str">
        <f>"1431-9276"</f>
        <v>1431-9276</v>
      </c>
      <c r="E4588" s="5">
        <v>4.1269999999999998</v>
      </c>
      <c r="F4588" s="5">
        <v>0.88900000000000001</v>
      </c>
    </row>
    <row r="4589" spans="2:6" x14ac:dyDescent="0.2">
      <c r="B4589" s="9" t="s">
        <v>11067</v>
      </c>
      <c r="C4589" s="15" t="s">
        <v>11068</v>
      </c>
      <c r="D4589" s="12" t="str">
        <f>"2050-5698"</f>
        <v>2050-5698</v>
      </c>
      <c r="E4589" s="5">
        <v>1.571</v>
      </c>
      <c r="F4589" s="5">
        <v>0.222</v>
      </c>
    </row>
    <row r="4590" spans="2:6" x14ac:dyDescent="0.2">
      <c r="B4590" s="9" t="s">
        <v>6892</v>
      </c>
      <c r="C4590" s="15" t="s">
        <v>3776</v>
      </c>
      <c r="D4590" s="12" t="str">
        <f>"1059-910X"</f>
        <v>1059-910X</v>
      </c>
      <c r="E4590" s="5">
        <v>2.7690000000000001</v>
      </c>
      <c r="F4590" s="5">
        <v>0.85699999999999998</v>
      </c>
    </row>
    <row r="4591" spans="2:6" x14ac:dyDescent="0.2">
      <c r="B4591" s="9" t="s">
        <v>6893</v>
      </c>
      <c r="C4591" s="15" t="s">
        <v>3777</v>
      </c>
      <c r="D4591" s="12" t="str">
        <f>"0738-1085"</f>
        <v>0738-1085</v>
      </c>
      <c r="E4591" s="5">
        <v>2.4249999999999998</v>
      </c>
      <c r="F4591" s="5">
        <v>0.5</v>
      </c>
    </row>
    <row r="4592" spans="2:6" x14ac:dyDescent="0.2">
      <c r="B4592" s="9" t="s">
        <v>6894</v>
      </c>
      <c r="C4592" s="15" t="s">
        <v>3778</v>
      </c>
      <c r="D4592" s="12" t="str">
        <f>"0026-2862"</f>
        <v>0026-2862</v>
      </c>
      <c r="E4592" s="5">
        <v>3.5139999999999998</v>
      </c>
      <c r="F4592" s="5">
        <v>0.61499999999999999</v>
      </c>
    </row>
    <row r="4593" spans="2:6" x14ac:dyDescent="0.2">
      <c r="B4593" s="9" t="s">
        <v>6895</v>
      </c>
      <c r="C4593" s="15" t="s">
        <v>3779</v>
      </c>
      <c r="D4593" s="12" t="str">
        <f>"0895-2477"</f>
        <v>0895-2477</v>
      </c>
      <c r="E4593" s="5">
        <v>1.3919999999999999</v>
      </c>
      <c r="F4593" s="5">
        <v>0.23200000000000001</v>
      </c>
    </row>
    <row r="4594" spans="2:6" x14ac:dyDescent="0.2">
      <c r="B4594" s="9" t="s">
        <v>6896</v>
      </c>
      <c r="C4594" s="15" t="s">
        <v>6896</v>
      </c>
      <c r="D4594" s="12" t="str">
        <f>"1532-3099"</f>
        <v>1532-3099</v>
      </c>
      <c r="E4594" s="5">
        <v>2.3719999999999999</v>
      </c>
      <c r="F4594" s="5">
        <v>0.754</v>
      </c>
    </row>
    <row r="4595" spans="2:6" x14ac:dyDescent="0.2">
      <c r="B4595" s="9" t="s">
        <v>11069</v>
      </c>
      <c r="C4595" s="15" t="s">
        <v>11070</v>
      </c>
      <c r="D4595" s="12" t="str">
        <f>"2049-5838"</f>
        <v>2049-5838</v>
      </c>
      <c r="E4595" s="5">
        <v>1.917</v>
      </c>
      <c r="F4595" s="5">
        <v>0.34499999999999997</v>
      </c>
    </row>
    <row r="4596" spans="2:6" x14ac:dyDescent="0.2">
      <c r="B4596" s="9" t="s">
        <v>720</v>
      </c>
      <c r="C4596" s="15" t="s">
        <v>721</v>
      </c>
      <c r="D4596" s="12" t="str">
        <f>"0374-9096"</f>
        <v>0374-9096</v>
      </c>
      <c r="E4596" s="5">
        <v>0.622</v>
      </c>
      <c r="F4596" s="5">
        <v>0.03</v>
      </c>
    </row>
    <row r="4597" spans="2:6" x14ac:dyDescent="0.2">
      <c r="B4597" s="9" t="s">
        <v>6897</v>
      </c>
      <c r="C4597" s="15" t="s">
        <v>3780</v>
      </c>
      <c r="D4597" s="12" t="str">
        <f>"0887-378X"</f>
        <v>0887-378X</v>
      </c>
      <c r="E4597" s="5">
        <v>4.9109999999999996</v>
      </c>
      <c r="F4597" s="5">
        <v>0.92</v>
      </c>
    </row>
    <row r="4598" spans="2:6" x14ac:dyDescent="0.2">
      <c r="B4598" s="9" t="s">
        <v>11071</v>
      </c>
      <c r="C4598" s="15" t="s">
        <v>11072</v>
      </c>
      <c r="D4598" s="12" t="str">
        <f>"2095-7467"</f>
        <v>2095-7467</v>
      </c>
      <c r="E4598" s="5">
        <v>3.3290000000000002</v>
      </c>
      <c r="F4598" s="5">
        <v>0.70699999999999996</v>
      </c>
    </row>
    <row r="4599" spans="2:6" x14ac:dyDescent="0.2">
      <c r="B4599" s="9" t="s">
        <v>11073</v>
      </c>
      <c r="C4599" s="15" t="s">
        <v>11074</v>
      </c>
      <c r="D4599" s="12" t="str">
        <f>"0026-4075"</f>
        <v>0026-4075</v>
      </c>
      <c r="E4599" s="5">
        <v>1.4370000000000001</v>
      </c>
      <c r="F4599" s="5">
        <v>0.317</v>
      </c>
    </row>
    <row r="4600" spans="2:6" x14ac:dyDescent="0.2">
      <c r="B4600" s="9" t="s">
        <v>722</v>
      </c>
      <c r="C4600" s="15" t="s">
        <v>723</v>
      </c>
      <c r="D4600" s="12" t="str">
        <f>"0899-5605"</f>
        <v>0899-5605</v>
      </c>
      <c r="E4600" s="5">
        <v>1.298</v>
      </c>
      <c r="F4600" s="5">
        <v>0.25900000000000001</v>
      </c>
    </row>
    <row r="4601" spans="2:6" x14ac:dyDescent="0.2">
      <c r="B4601" s="9" t="s">
        <v>11075</v>
      </c>
      <c r="C4601" s="15" t="s">
        <v>11076</v>
      </c>
      <c r="D4601" s="12" t="str">
        <f>"1751-2271"</f>
        <v>1751-2271</v>
      </c>
      <c r="E4601" s="5">
        <v>2.0630000000000002</v>
      </c>
      <c r="F4601" s="5">
        <v>0.41699999999999998</v>
      </c>
    </row>
    <row r="4602" spans="2:6" x14ac:dyDescent="0.2">
      <c r="B4602" s="9" t="s">
        <v>11077</v>
      </c>
      <c r="C4602" s="15" t="s">
        <v>11078</v>
      </c>
      <c r="D4602" s="12" t="str">
        <f>"1868-8527"</f>
        <v>1868-8527</v>
      </c>
      <c r="E4602" s="5">
        <v>4.6840000000000002</v>
      </c>
      <c r="F4602" s="5">
        <v>0.83799999999999997</v>
      </c>
    </row>
    <row r="4603" spans="2:6" x14ac:dyDescent="0.2">
      <c r="B4603" s="9" t="s">
        <v>724</v>
      </c>
      <c r="C4603" s="15" t="s">
        <v>725</v>
      </c>
      <c r="D4603" s="12" t="str">
        <f>"1468-0017"</f>
        <v>1468-0017</v>
      </c>
      <c r="E4603" s="5">
        <v>1.9379999999999999</v>
      </c>
      <c r="F4603" s="5">
        <v>0.755</v>
      </c>
    </row>
    <row r="4604" spans="2:6" x14ac:dyDescent="0.2">
      <c r="B4604" s="9" t="s">
        <v>726</v>
      </c>
      <c r="C4604" s="15" t="s">
        <v>726</v>
      </c>
      <c r="D4604" s="12" t="str">
        <f>"0026-4695"</f>
        <v>0026-4695</v>
      </c>
      <c r="E4604" s="5">
        <v>2.17</v>
      </c>
      <c r="F4604" s="5">
        <v>0.86499999999999999</v>
      </c>
    </row>
    <row r="4605" spans="2:6" x14ac:dyDescent="0.2">
      <c r="B4605" s="9" t="s">
        <v>727</v>
      </c>
      <c r="C4605" s="15" t="s">
        <v>728</v>
      </c>
      <c r="D4605" s="12" t="str">
        <f>"0375-9393"</f>
        <v>0375-9393</v>
      </c>
      <c r="E4605" s="5">
        <v>3.0510000000000002</v>
      </c>
      <c r="F4605" s="5">
        <v>0.48499999999999999</v>
      </c>
    </row>
    <row r="4606" spans="2:6" x14ac:dyDescent="0.2">
      <c r="B4606" s="9" t="s">
        <v>6898</v>
      </c>
      <c r="C4606" s="15" t="s">
        <v>3781</v>
      </c>
      <c r="D4606" s="12" t="str">
        <f>"1120-4826"</f>
        <v>1120-4826</v>
      </c>
      <c r="E4606" s="5">
        <v>3.028</v>
      </c>
      <c r="F4606" s="5">
        <v>0.46800000000000003</v>
      </c>
    </row>
    <row r="4607" spans="2:6" x14ac:dyDescent="0.2">
      <c r="B4607" s="9" t="s">
        <v>11079</v>
      </c>
      <c r="C4607" s="15" t="s">
        <v>11080</v>
      </c>
      <c r="D4607" s="12" t="str">
        <f>"1827-1618"</f>
        <v>1827-1618</v>
      </c>
      <c r="E4607" s="5">
        <v>1.347</v>
      </c>
      <c r="F4607" s="5">
        <v>4.2999999999999997E-2</v>
      </c>
    </row>
    <row r="4608" spans="2:6" x14ac:dyDescent="0.2">
      <c r="B4608" s="9" t="s">
        <v>729</v>
      </c>
      <c r="C4608" s="15" t="s">
        <v>730</v>
      </c>
      <c r="D4608" s="12" t="str">
        <f>"0026-4733"</f>
        <v>0026-4733</v>
      </c>
      <c r="E4608" s="5">
        <v>1</v>
      </c>
      <c r="F4608" s="5">
        <v>9.5000000000000001E-2</v>
      </c>
    </row>
    <row r="4609" spans="2:6" x14ac:dyDescent="0.2">
      <c r="B4609" s="9" t="s">
        <v>11081</v>
      </c>
      <c r="C4609" s="15" t="s">
        <v>11082</v>
      </c>
      <c r="D4609" s="12" t="str">
        <f>"0391-1977"</f>
        <v>0391-1977</v>
      </c>
      <c r="E4609" s="5">
        <v>2.1840000000000002</v>
      </c>
      <c r="F4609" s="5">
        <v>0.124</v>
      </c>
    </row>
    <row r="4610" spans="2:6" x14ac:dyDescent="0.2">
      <c r="B4610" s="9" t="s">
        <v>11083</v>
      </c>
      <c r="C4610" s="15" t="s">
        <v>11084</v>
      </c>
      <c r="D4610" s="12" t="str">
        <f>"0026-4776"</f>
        <v>0026-4776</v>
      </c>
      <c r="E4610" s="5">
        <v>3.0720000000000001</v>
      </c>
      <c r="F4610" s="5">
        <v>0.30399999999999999</v>
      </c>
    </row>
    <row r="4611" spans="2:6" x14ac:dyDescent="0.2">
      <c r="B4611" s="9" t="s">
        <v>731</v>
      </c>
      <c r="C4611" s="15" t="s">
        <v>732</v>
      </c>
      <c r="D4611" s="12" t="str">
        <f>"0026-4806"</f>
        <v>0026-4806</v>
      </c>
      <c r="E4611" s="5">
        <v>4.806</v>
      </c>
      <c r="F4611" s="5">
        <v>0.81399999999999995</v>
      </c>
    </row>
    <row r="4612" spans="2:6" x14ac:dyDescent="0.2">
      <c r="B4612" s="9" t="s">
        <v>11085</v>
      </c>
      <c r="C4612" s="15" t="s">
        <v>11086</v>
      </c>
      <c r="D4612" s="12"/>
      <c r="E4612" s="5">
        <v>1.3120000000000001</v>
      </c>
      <c r="F4612" s="5">
        <v>0.16300000000000001</v>
      </c>
    </row>
    <row r="4613" spans="2:6" x14ac:dyDescent="0.2">
      <c r="B4613" s="9" t="s">
        <v>11087</v>
      </c>
      <c r="C4613" s="15" t="s">
        <v>11088</v>
      </c>
      <c r="D4613" s="12" t="str">
        <f>"0393-2249"</f>
        <v>0393-2249</v>
      </c>
      <c r="E4613" s="5">
        <v>3.72</v>
      </c>
      <c r="F4613" s="5">
        <v>0.70799999999999996</v>
      </c>
    </row>
    <row r="4614" spans="2:6" x14ac:dyDescent="0.2">
      <c r="B4614" s="9" t="s">
        <v>6899</v>
      </c>
      <c r="C4614" s="15" t="s">
        <v>3782</v>
      </c>
      <c r="D4614" s="12" t="str">
        <f>"1364-5706"</f>
        <v>1364-5706</v>
      </c>
      <c r="E4614" s="5">
        <v>2.4420000000000002</v>
      </c>
      <c r="F4614" s="5">
        <v>0.505</v>
      </c>
    </row>
    <row r="4615" spans="2:6" x14ac:dyDescent="0.2">
      <c r="B4615" s="9" t="s">
        <v>6900</v>
      </c>
      <c r="C4615" s="15" t="s">
        <v>3783</v>
      </c>
      <c r="D4615" s="12" t="str">
        <f>"1389-5575"</f>
        <v>1389-5575</v>
      </c>
      <c r="E4615" s="5">
        <v>3.8620000000000001</v>
      </c>
      <c r="F4615" s="5">
        <v>0.629</v>
      </c>
    </row>
    <row r="4616" spans="2:6" x14ac:dyDescent="0.2">
      <c r="B4616" s="9" t="s">
        <v>6901</v>
      </c>
      <c r="C4616" s="15" t="s">
        <v>3784</v>
      </c>
      <c r="D4616" s="12" t="str">
        <f>"1570-193X"</f>
        <v>1570-193X</v>
      </c>
      <c r="E4616" s="5">
        <v>2.4950000000000001</v>
      </c>
      <c r="F4616" s="5">
        <v>0.56100000000000005</v>
      </c>
    </row>
    <row r="4617" spans="2:6" x14ac:dyDescent="0.2">
      <c r="B4617" s="9" t="s">
        <v>11089</v>
      </c>
      <c r="C4617" s="15" t="s">
        <v>11090</v>
      </c>
      <c r="D4617" s="12" t="str">
        <f>"0076-9266"</f>
        <v>0076-9266</v>
      </c>
      <c r="E4617" s="5">
        <v>0</v>
      </c>
      <c r="F4617" s="5">
        <v>1.2999999999999999E-2</v>
      </c>
    </row>
    <row r="4618" spans="2:6" x14ac:dyDescent="0.2">
      <c r="B4618" s="9" t="s">
        <v>11091</v>
      </c>
      <c r="C4618" s="15" t="s">
        <v>11092</v>
      </c>
      <c r="D4618" s="12" t="str">
        <f>"1540-1960"</f>
        <v>1540-1960</v>
      </c>
      <c r="E4618" s="5">
        <v>4.3710000000000004</v>
      </c>
      <c r="F4618" s="5">
        <v>0.74099999999999999</v>
      </c>
    </row>
    <row r="4619" spans="2:6" x14ac:dyDescent="0.2">
      <c r="B4619" s="9" t="s">
        <v>733</v>
      </c>
      <c r="C4619" s="15" t="s">
        <v>734</v>
      </c>
      <c r="D4619" s="12" t="str">
        <f>"0276-7783"</f>
        <v>0276-7783</v>
      </c>
      <c r="E4619" s="5">
        <v>7.1980000000000004</v>
      </c>
      <c r="F4619" s="5">
        <v>0.91900000000000004</v>
      </c>
    </row>
    <row r="4620" spans="2:6" x14ac:dyDescent="0.2">
      <c r="B4620" s="9" t="s">
        <v>11093</v>
      </c>
      <c r="C4620" s="15" t="s">
        <v>11094</v>
      </c>
      <c r="D4620" s="12" t="str">
        <f>"2470-1394"</f>
        <v>2470-1394</v>
      </c>
      <c r="E4620" s="5">
        <v>1.514</v>
      </c>
      <c r="F4620" s="5">
        <v>0.109</v>
      </c>
    </row>
    <row r="4621" spans="2:6" x14ac:dyDescent="0.2">
      <c r="B4621" s="9" t="s">
        <v>11095</v>
      </c>
      <c r="C4621" s="15" t="s">
        <v>11096</v>
      </c>
      <c r="D4621" s="12" t="str">
        <f>"2380-2359"</f>
        <v>2380-2359</v>
      </c>
      <c r="E4621" s="5">
        <v>0.65800000000000003</v>
      </c>
      <c r="F4621" s="5">
        <v>0.04</v>
      </c>
    </row>
    <row r="4622" spans="2:6" x14ac:dyDescent="0.2">
      <c r="B4622" s="9" t="s">
        <v>6902</v>
      </c>
      <c r="C4622" s="15" t="s">
        <v>6902</v>
      </c>
      <c r="D4622" s="12" t="str">
        <f>"1567-7249"</f>
        <v>1567-7249</v>
      </c>
      <c r="E4622" s="5">
        <v>4.16</v>
      </c>
      <c r="F4622" s="5">
        <v>0.65100000000000002</v>
      </c>
    </row>
    <row r="4623" spans="2:6" x14ac:dyDescent="0.2">
      <c r="B4623" s="9" t="s">
        <v>11097</v>
      </c>
      <c r="C4623" s="15" t="s">
        <v>11098</v>
      </c>
      <c r="D4623" s="12" t="str">
        <f>"1099-274X"</f>
        <v>1099-274X</v>
      </c>
      <c r="E4623" s="5">
        <v>2.5630000000000002</v>
      </c>
      <c r="F4623" s="5">
        <v>0.51400000000000001</v>
      </c>
    </row>
    <row r="4624" spans="2:6" x14ac:dyDescent="0.2">
      <c r="B4624" s="9" t="s">
        <v>11099</v>
      </c>
      <c r="C4624" s="15" t="s">
        <v>11100</v>
      </c>
      <c r="D4624" s="12" t="str">
        <f>"0149-2195"</f>
        <v>0149-2195</v>
      </c>
      <c r="E4624" s="5">
        <v>17.585999999999999</v>
      </c>
      <c r="F4624" s="5">
        <v>0.98</v>
      </c>
    </row>
    <row r="4625" spans="2:6" x14ac:dyDescent="0.2">
      <c r="B4625" s="9" t="s">
        <v>11101</v>
      </c>
      <c r="C4625" s="15" t="s">
        <v>11102</v>
      </c>
      <c r="D4625" s="12" t="str">
        <f>"1057-5987"</f>
        <v>1057-5987</v>
      </c>
      <c r="E4625" s="5">
        <v>55.856999999999999</v>
      </c>
      <c r="F4625" s="5">
        <v>0.997</v>
      </c>
    </row>
    <row r="4626" spans="2:6" x14ac:dyDescent="0.2">
      <c r="B4626" s="9" t="s">
        <v>11103</v>
      </c>
      <c r="C4626" s="15" t="s">
        <v>11104</v>
      </c>
      <c r="D4626" s="12" t="str">
        <f>"1545-8636"</f>
        <v>1545-8636</v>
      </c>
      <c r="E4626" s="5">
        <v>58.768999999999998</v>
      </c>
      <c r="F4626" s="5">
        <v>1</v>
      </c>
    </row>
    <row r="4627" spans="2:6" x14ac:dyDescent="0.2">
      <c r="B4627" s="9" t="s">
        <v>11105</v>
      </c>
      <c r="C4627" s="15" t="s">
        <v>11106</v>
      </c>
      <c r="D4627" s="12" t="str">
        <f>"1759-8753"</f>
        <v>1759-8753</v>
      </c>
      <c r="E4627" s="5">
        <v>4.0599999999999996</v>
      </c>
      <c r="F4627" s="5">
        <v>0.61099999999999999</v>
      </c>
    </row>
    <row r="4628" spans="2:6" x14ac:dyDescent="0.2">
      <c r="B4628" s="9" t="s">
        <v>6903</v>
      </c>
      <c r="C4628" s="15" t="s">
        <v>3785</v>
      </c>
      <c r="D4628" s="12" t="str">
        <f>"0893-3952"</f>
        <v>0893-3952</v>
      </c>
      <c r="E4628" s="5">
        <v>7.8419999999999996</v>
      </c>
      <c r="F4628" s="5">
        <v>0.93500000000000005</v>
      </c>
    </row>
    <row r="4629" spans="2:6" x14ac:dyDescent="0.2">
      <c r="B4629" s="9" t="s">
        <v>11107</v>
      </c>
      <c r="C4629" s="15" t="s">
        <v>11108</v>
      </c>
      <c r="D4629" s="12" t="str">
        <f>"1439-7609"</f>
        <v>1439-7609</v>
      </c>
      <c r="E4629" s="5">
        <v>3.0230000000000001</v>
      </c>
      <c r="F4629" s="5">
        <v>0.35299999999999998</v>
      </c>
    </row>
    <row r="4630" spans="2:6" x14ac:dyDescent="0.2">
      <c r="B4630" s="9" t="s">
        <v>735</v>
      </c>
      <c r="C4630" s="15" t="s">
        <v>736</v>
      </c>
      <c r="D4630" s="12" t="str">
        <f>"0098-2997"</f>
        <v>0098-2997</v>
      </c>
      <c r="E4630" s="5">
        <v>14.234999999999999</v>
      </c>
      <c r="F4630" s="5">
        <v>0.97099999999999997</v>
      </c>
    </row>
    <row r="4631" spans="2:6" x14ac:dyDescent="0.2">
      <c r="B4631" s="9" t="s">
        <v>11109</v>
      </c>
      <c r="C4631" s="15" t="s">
        <v>11110</v>
      </c>
      <c r="D4631" s="12" t="str">
        <f>"2040-2392"</f>
        <v>2040-2392</v>
      </c>
      <c r="E4631" s="5">
        <v>7.5090000000000003</v>
      </c>
      <c r="F4631" s="5">
        <v>0.90300000000000002</v>
      </c>
    </row>
    <row r="4632" spans="2:6" x14ac:dyDescent="0.2">
      <c r="B4632" s="9" t="s">
        <v>6904</v>
      </c>
      <c r="C4632" s="15" t="s">
        <v>3786</v>
      </c>
      <c r="D4632" s="12" t="str">
        <f>"0166-6851"</f>
        <v>0166-6851</v>
      </c>
      <c r="E4632" s="5">
        <v>1.7589999999999999</v>
      </c>
      <c r="F4632" s="5">
        <v>0.34200000000000003</v>
      </c>
    </row>
    <row r="4633" spans="2:6" x14ac:dyDescent="0.2">
      <c r="B4633" s="9" t="s">
        <v>6905</v>
      </c>
      <c r="C4633" s="15" t="s">
        <v>3787</v>
      </c>
      <c r="D4633" s="12" t="str">
        <f>"0026-8933"</f>
        <v>0026-8933</v>
      </c>
      <c r="E4633" s="5">
        <v>1.3740000000000001</v>
      </c>
      <c r="F4633" s="5">
        <v>5.7000000000000002E-2</v>
      </c>
    </row>
    <row r="4634" spans="2:6" x14ac:dyDescent="0.2">
      <c r="B4634" s="9" t="s">
        <v>6906</v>
      </c>
      <c r="C4634" s="15" t="s">
        <v>3788</v>
      </c>
      <c r="D4634" s="12" t="str">
        <f>"1939-4586"</f>
        <v>1939-4586</v>
      </c>
      <c r="E4634" s="5">
        <v>4.1379999999999999</v>
      </c>
      <c r="F4634" s="5">
        <v>0.42499999999999999</v>
      </c>
    </row>
    <row r="4635" spans="2:6" x14ac:dyDescent="0.2">
      <c r="B4635" s="9" t="s">
        <v>6907</v>
      </c>
      <c r="C4635" s="15" t="s">
        <v>3789</v>
      </c>
      <c r="D4635" s="12" t="str">
        <f>"0737-4038"</f>
        <v>0737-4038</v>
      </c>
      <c r="E4635" s="5">
        <v>16.239999999999998</v>
      </c>
      <c r="F4635" s="5">
        <v>0.98</v>
      </c>
    </row>
    <row r="4636" spans="2:6" x14ac:dyDescent="0.2">
      <c r="B4636" s="9" t="s">
        <v>6908</v>
      </c>
      <c r="C4636" s="15" t="s">
        <v>3790</v>
      </c>
      <c r="D4636" s="12" t="str">
        <f>"1573-4978"</f>
        <v>1573-4978</v>
      </c>
      <c r="E4636" s="5">
        <v>2.3159999999999998</v>
      </c>
      <c r="F4636" s="5">
        <v>0.19600000000000001</v>
      </c>
    </row>
    <row r="4637" spans="2:6" x14ac:dyDescent="0.2">
      <c r="B4637" s="9" t="s">
        <v>6909</v>
      </c>
      <c r="C4637" s="15" t="s">
        <v>3791</v>
      </c>
      <c r="D4637" s="12" t="str">
        <f>"1073-6085"</f>
        <v>1073-6085</v>
      </c>
      <c r="E4637" s="5">
        <v>2.6949999999999998</v>
      </c>
      <c r="F4637" s="5">
        <v>0.38600000000000001</v>
      </c>
    </row>
    <row r="4638" spans="2:6" x14ac:dyDescent="0.2">
      <c r="B4638" s="9" t="s">
        <v>11111</v>
      </c>
      <c r="C4638" s="15" t="s">
        <v>11112</v>
      </c>
      <c r="D4638" s="12" t="str">
        <f>"1756-6606"</f>
        <v>1756-6606</v>
      </c>
      <c r="E4638" s="5">
        <v>4.0410000000000004</v>
      </c>
      <c r="F4638" s="5">
        <v>0.59</v>
      </c>
    </row>
    <row r="4639" spans="2:6" x14ac:dyDescent="0.2">
      <c r="B4639" s="9" t="s">
        <v>6910</v>
      </c>
      <c r="C4639" s="15" t="s">
        <v>3792</v>
      </c>
      <c r="D4639" s="12" t="str">
        <f>"1380-3743"</f>
        <v>1380-3743</v>
      </c>
      <c r="E4639" s="5">
        <v>2.589</v>
      </c>
      <c r="F4639" s="5">
        <v>0.83799999999999997</v>
      </c>
    </row>
    <row r="4640" spans="2:6" x14ac:dyDescent="0.2">
      <c r="B4640" s="9" t="s">
        <v>737</v>
      </c>
      <c r="C4640" s="15" t="s">
        <v>738</v>
      </c>
      <c r="D4640" s="12" t="str">
        <f>"1476-4598"</f>
        <v>1476-4598</v>
      </c>
      <c r="E4640" s="5">
        <v>27.401</v>
      </c>
      <c r="F4640" s="5">
        <v>0.99299999999999999</v>
      </c>
    </row>
    <row r="4641" spans="2:6" x14ac:dyDescent="0.2">
      <c r="B4641" s="9" t="s">
        <v>6911</v>
      </c>
      <c r="C4641" s="15" t="s">
        <v>3793</v>
      </c>
      <c r="D4641" s="12" t="str">
        <f>"1541-7786"</f>
        <v>1541-7786</v>
      </c>
      <c r="E4641" s="5">
        <v>5.8520000000000003</v>
      </c>
      <c r="F4641" s="5">
        <v>0.72199999999999998</v>
      </c>
    </row>
    <row r="4642" spans="2:6" x14ac:dyDescent="0.2">
      <c r="B4642" s="9" t="s">
        <v>6912</v>
      </c>
      <c r="C4642" s="15" t="s">
        <v>3794</v>
      </c>
      <c r="D4642" s="12" t="str">
        <f>"1535-7163"</f>
        <v>1535-7163</v>
      </c>
      <c r="E4642" s="5">
        <v>6.2610000000000001</v>
      </c>
      <c r="F4642" s="5">
        <v>0.755</v>
      </c>
    </row>
    <row r="4643" spans="2:6" x14ac:dyDescent="0.2">
      <c r="B4643" s="9" t="s">
        <v>6913</v>
      </c>
      <c r="C4643" s="15" t="s">
        <v>3795</v>
      </c>
      <c r="D4643" s="12" t="str">
        <f>"0899-1987"</f>
        <v>0899-1987</v>
      </c>
      <c r="E4643" s="5">
        <v>4.7839999999999998</v>
      </c>
      <c r="F4643" s="5">
        <v>0.67600000000000005</v>
      </c>
    </row>
    <row r="4644" spans="2:6" x14ac:dyDescent="0.2">
      <c r="B4644" s="9" t="s">
        <v>6914</v>
      </c>
      <c r="C4644" s="15" t="s">
        <v>3796</v>
      </c>
      <c r="D4644" s="12" t="str">
        <f>"1097-2765"</f>
        <v>1097-2765</v>
      </c>
      <c r="E4644" s="5">
        <v>17.97</v>
      </c>
      <c r="F4644" s="5">
        <v>0.98299999999999998</v>
      </c>
    </row>
    <row r="4645" spans="2:6" x14ac:dyDescent="0.2">
      <c r="B4645" s="9" t="s">
        <v>6915</v>
      </c>
      <c r="C4645" s="15" t="s">
        <v>3797</v>
      </c>
      <c r="D4645" s="12" t="str">
        <f>"0300-8177"</f>
        <v>0300-8177</v>
      </c>
      <c r="E4645" s="5">
        <v>3.3959999999999999</v>
      </c>
      <c r="F4645" s="5">
        <v>0.311</v>
      </c>
    </row>
    <row r="4646" spans="2:6" x14ac:dyDescent="0.2">
      <c r="B4646" s="9" t="s">
        <v>6916</v>
      </c>
      <c r="C4646" s="15" t="s">
        <v>3798</v>
      </c>
      <c r="D4646" s="12" t="str">
        <f>"0270-7306"</f>
        <v>0270-7306</v>
      </c>
      <c r="E4646" s="5">
        <v>4.2720000000000002</v>
      </c>
      <c r="F4646" s="5">
        <v>0.58099999999999996</v>
      </c>
    </row>
    <row r="4647" spans="2:6" x14ac:dyDescent="0.2">
      <c r="B4647" s="9" t="s">
        <v>6917</v>
      </c>
      <c r="C4647" s="15" t="s">
        <v>3799</v>
      </c>
      <c r="D4647" s="12" t="str">
        <f>"0303-7207"</f>
        <v>0303-7207</v>
      </c>
      <c r="E4647" s="5">
        <v>4.1020000000000003</v>
      </c>
      <c r="F4647" s="5">
        <v>0.52400000000000002</v>
      </c>
    </row>
    <row r="4648" spans="2:6" x14ac:dyDescent="0.2">
      <c r="B4648" s="9" t="s">
        <v>6918</v>
      </c>
      <c r="C4648" s="15" t="s">
        <v>3800</v>
      </c>
      <c r="D4648" s="12" t="str">
        <f>"1044-7431"</f>
        <v>1044-7431</v>
      </c>
      <c r="E4648" s="5">
        <v>4.3140000000000001</v>
      </c>
      <c r="F4648" s="5">
        <v>0.63400000000000001</v>
      </c>
    </row>
    <row r="4649" spans="2:6" x14ac:dyDescent="0.2">
      <c r="B4649" s="9" t="s">
        <v>6919</v>
      </c>
      <c r="C4649" s="15" t="s">
        <v>3801</v>
      </c>
      <c r="D4649" s="12" t="str">
        <f>"0890-8508"</f>
        <v>0890-8508</v>
      </c>
      <c r="E4649" s="5">
        <v>2.3650000000000002</v>
      </c>
      <c r="F4649" s="5">
        <v>0.33800000000000002</v>
      </c>
    </row>
    <row r="4650" spans="2:6" x14ac:dyDescent="0.2">
      <c r="B4650" s="9" t="s">
        <v>6920</v>
      </c>
      <c r="C4650" s="15" t="s">
        <v>3802</v>
      </c>
      <c r="D4650" s="12" t="str">
        <f>"1535-9476"</f>
        <v>1535-9476</v>
      </c>
      <c r="E4650" s="5">
        <v>5.9109999999999996</v>
      </c>
      <c r="F4650" s="5">
        <v>0.90900000000000003</v>
      </c>
    </row>
    <row r="4651" spans="2:6" x14ac:dyDescent="0.2">
      <c r="B4651" s="9" t="s">
        <v>6922</v>
      </c>
      <c r="C4651" s="15" t="s">
        <v>3804</v>
      </c>
      <c r="D4651" s="12" t="str">
        <f>"1016-8478"</f>
        <v>1016-8478</v>
      </c>
      <c r="E4651" s="5">
        <v>5.0339999999999998</v>
      </c>
      <c r="F4651" s="5">
        <v>0.69899999999999995</v>
      </c>
    </row>
    <row r="4652" spans="2:6" x14ac:dyDescent="0.2">
      <c r="B4652" s="9" t="s">
        <v>6921</v>
      </c>
      <c r="C4652" s="15" t="s">
        <v>3803</v>
      </c>
      <c r="D4652" s="12" t="str">
        <f>"1738-642X"</f>
        <v>1738-642X</v>
      </c>
      <c r="E4652" s="5">
        <v>1.08</v>
      </c>
      <c r="F4652" s="5">
        <v>2.1999999999999999E-2</v>
      </c>
    </row>
    <row r="4653" spans="2:6" x14ac:dyDescent="0.2">
      <c r="B4653" s="9" t="s">
        <v>11113</v>
      </c>
      <c r="C4653" s="15" t="s">
        <v>11114</v>
      </c>
      <c r="D4653" s="12" t="str">
        <f>"1542-1406"</f>
        <v>1542-1406</v>
      </c>
      <c r="E4653" s="5">
        <v>0.89600000000000002</v>
      </c>
      <c r="F4653" s="5">
        <v>0.2</v>
      </c>
    </row>
    <row r="4654" spans="2:6" x14ac:dyDescent="0.2">
      <c r="B4654" s="9" t="s">
        <v>11115</v>
      </c>
      <c r="C4654" s="15" t="s">
        <v>11116</v>
      </c>
      <c r="D4654" s="12" t="str">
        <f>"1755-8166"</f>
        <v>1755-8166</v>
      </c>
      <c r="E4654" s="5">
        <v>2.0089999999999999</v>
      </c>
      <c r="F4654" s="5">
        <v>0.23400000000000001</v>
      </c>
    </row>
    <row r="4655" spans="2:6" x14ac:dyDescent="0.2">
      <c r="B4655" s="9" t="s">
        <v>6923</v>
      </c>
      <c r="C4655" s="15" t="s">
        <v>3805</v>
      </c>
      <c r="D4655" s="12" t="str">
        <f>"1179-2000"</f>
        <v>1179-2000</v>
      </c>
      <c r="E4655" s="5">
        <v>4.0739999999999998</v>
      </c>
      <c r="F4655" s="5">
        <v>0.623</v>
      </c>
    </row>
    <row r="4656" spans="2:6" x14ac:dyDescent="0.2">
      <c r="B4656" s="9" t="s">
        <v>739</v>
      </c>
      <c r="C4656" s="15" t="s">
        <v>740</v>
      </c>
      <c r="D4656" s="12" t="str">
        <f>"1381-1991"</f>
        <v>1381-1991</v>
      </c>
      <c r="E4656" s="5">
        <v>2.9430000000000001</v>
      </c>
      <c r="F4656" s="5">
        <v>0.59499999999999997</v>
      </c>
    </row>
    <row r="4657" spans="2:6" x14ac:dyDescent="0.2">
      <c r="B4657" s="9" t="s">
        <v>6924</v>
      </c>
      <c r="C4657" s="15" t="s">
        <v>3806</v>
      </c>
      <c r="D4657" s="12" t="str">
        <f>"0962-1083"</f>
        <v>0962-1083</v>
      </c>
      <c r="E4657" s="5">
        <v>6.1849999999999996</v>
      </c>
      <c r="F4657" s="5">
        <v>0.91</v>
      </c>
    </row>
    <row r="4658" spans="2:6" x14ac:dyDescent="0.2">
      <c r="B4658" s="9" t="s">
        <v>741</v>
      </c>
      <c r="C4658" s="15" t="s">
        <v>742</v>
      </c>
      <c r="D4658" s="12" t="str">
        <f>"1755-098X"</f>
        <v>1755-098X</v>
      </c>
      <c r="E4658" s="5">
        <v>7.09</v>
      </c>
      <c r="F4658" s="5">
        <v>0.93400000000000005</v>
      </c>
    </row>
    <row r="4659" spans="2:6" x14ac:dyDescent="0.2">
      <c r="B4659" s="9" t="s">
        <v>6942</v>
      </c>
      <c r="C4659" s="15" t="s">
        <v>6942</v>
      </c>
      <c r="D4659" s="12" t="str">
        <f>"1420-3049"</f>
        <v>1420-3049</v>
      </c>
      <c r="E4659" s="5">
        <v>4.4109999999999996</v>
      </c>
      <c r="F4659" s="5">
        <v>0.65200000000000002</v>
      </c>
    </row>
    <row r="4660" spans="2:6" x14ac:dyDescent="0.2">
      <c r="B4660" s="9" t="s">
        <v>6925</v>
      </c>
      <c r="C4660" s="15" t="s">
        <v>2376</v>
      </c>
      <c r="D4660" s="12" t="str">
        <f>"1617-4615"</f>
        <v>1617-4615</v>
      </c>
      <c r="E4660" s="5">
        <v>3.2909999999999999</v>
      </c>
      <c r="F4660" s="5">
        <v>0.50900000000000001</v>
      </c>
    </row>
    <row r="4661" spans="2:6" x14ac:dyDescent="0.2">
      <c r="B4661" s="9" t="s">
        <v>11117</v>
      </c>
      <c r="C4661" s="15" t="s">
        <v>11118</v>
      </c>
      <c r="D4661" s="12" t="str">
        <f>"2324-9269"</f>
        <v>2324-9269</v>
      </c>
      <c r="E4661" s="5">
        <v>2.1829999999999998</v>
      </c>
      <c r="F4661" s="5">
        <v>0.27400000000000002</v>
      </c>
    </row>
    <row r="4662" spans="2:6" x14ac:dyDescent="0.2">
      <c r="B4662" s="9" t="s">
        <v>6926</v>
      </c>
      <c r="C4662" s="15" t="s">
        <v>2377</v>
      </c>
      <c r="D4662" s="12" t="str">
        <f>"1096-7192"</f>
        <v>1096-7192</v>
      </c>
      <c r="E4662" s="5">
        <v>4.7969999999999997</v>
      </c>
      <c r="F4662" s="5">
        <v>0.749</v>
      </c>
    </row>
    <row r="4663" spans="2:6" x14ac:dyDescent="0.2">
      <c r="B4663" s="9" t="s">
        <v>11119</v>
      </c>
      <c r="C4663" s="15" t="s">
        <v>11120</v>
      </c>
      <c r="D4663" s="12" t="str">
        <f>"2214-4269"</f>
        <v>2214-4269</v>
      </c>
      <c r="E4663" s="5">
        <v>2.7970000000000002</v>
      </c>
      <c r="F4663" s="5">
        <v>0.41099999999999998</v>
      </c>
    </row>
    <row r="4664" spans="2:6" x14ac:dyDescent="0.2">
      <c r="B4664" s="9" t="s">
        <v>11121</v>
      </c>
      <c r="C4664" s="15" t="s">
        <v>11122</v>
      </c>
      <c r="D4664" s="12" t="str">
        <f>"0891-4168"</f>
        <v>0891-4168</v>
      </c>
      <c r="E4664" s="5">
        <v>0.35199999999999998</v>
      </c>
      <c r="F4664" s="5">
        <v>1.4999999999999999E-2</v>
      </c>
    </row>
    <row r="4665" spans="2:6" x14ac:dyDescent="0.2">
      <c r="B4665" s="9" t="s">
        <v>6927</v>
      </c>
      <c r="C4665" s="15" t="s">
        <v>2378</v>
      </c>
      <c r="D4665" s="12" t="str">
        <f>"1460-2407"</f>
        <v>1460-2407</v>
      </c>
      <c r="E4665" s="5">
        <v>4.0250000000000004</v>
      </c>
      <c r="F4665" s="5">
        <v>0.83099999999999996</v>
      </c>
    </row>
    <row r="4666" spans="2:6" x14ac:dyDescent="0.2">
      <c r="B4666" s="9" t="s">
        <v>743</v>
      </c>
      <c r="C4666" s="15" t="s">
        <v>744</v>
      </c>
      <c r="D4666" s="12" t="str">
        <f>"1536-0121"</f>
        <v>1536-0121</v>
      </c>
      <c r="E4666" s="5">
        <v>4.4880000000000004</v>
      </c>
      <c r="F4666" s="5">
        <v>0.81799999999999995</v>
      </c>
    </row>
    <row r="4667" spans="2:6" x14ac:dyDescent="0.2">
      <c r="B4667" s="9" t="s">
        <v>6928</v>
      </c>
      <c r="C4667" s="15" t="s">
        <v>2379</v>
      </c>
      <c r="D4667" s="12" t="str">
        <f>"1536-1632"</f>
        <v>1536-1632</v>
      </c>
      <c r="E4667" s="5">
        <v>3.488</v>
      </c>
      <c r="F4667" s="5">
        <v>0.63900000000000001</v>
      </c>
    </row>
    <row r="4668" spans="2:6" x14ac:dyDescent="0.2">
      <c r="B4668" s="9" t="s">
        <v>6929</v>
      </c>
      <c r="C4668" s="15" t="s">
        <v>2380</v>
      </c>
      <c r="D4668" s="12" t="str">
        <f>"0161-5890"</f>
        <v>0161-5890</v>
      </c>
      <c r="E4668" s="5">
        <v>4.407</v>
      </c>
      <c r="F4668" s="5">
        <v>0.60799999999999998</v>
      </c>
    </row>
    <row r="4669" spans="2:6" x14ac:dyDescent="0.2">
      <c r="B4669" s="9" t="s">
        <v>11123</v>
      </c>
      <c r="C4669" s="15" t="s">
        <v>11124</v>
      </c>
      <c r="D4669" s="12" t="str">
        <f>"1868-1743"</f>
        <v>1868-1743</v>
      </c>
      <c r="E4669" s="5">
        <v>3.3530000000000002</v>
      </c>
      <c r="F4669" s="5">
        <v>0.75900000000000001</v>
      </c>
    </row>
    <row r="4670" spans="2:6" x14ac:dyDescent="0.2">
      <c r="B4670" s="9" t="s">
        <v>6930</v>
      </c>
      <c r="C4670" s="15" t="s">
        <v>2381</v>
      </c>
      <c r="D4670" s="12" t="str">
        <f>"1076-1551"</f>
        <v>1076-1551</v>
      </c>
      <c r="E4670" s="5">
        <v>6.3540000000000001</v>
      </c>
      <c r="F4670" s="5">
        <v>0.80400000000000005</v>
      </c>
    </row>
    <row r="4671" spans="2:6" x14ac:dyDescent="0.2">
      <c r="B4671" s="9" t="s">
        <v>745</v>
      </c>
      <c r="C4671" s="15" t="s">
        <v>746</v>
      </c>
      <c r="D4671" s="12" t="str">
        <f>"1791-3004"</f>
        <v>1791-3004</v>
      </c>
      <c r="E4671" s="5">
        <v>2.952</v>
      </c>
      <c r="F4671" s="5">
        <v>0.36399999999999999</v>
      </c>
    </row>
    <row r="4672" spans="2:6" x14ac:dyDescent="0.2">
      <c r="B4672" s="9" t="s">
        <v>6931</v>
      </c>
      <c r="C4672" s="15" t="s">
        <v>2382</v>
      </c>
      <c r="D4672" s="12" t="str">
        <f>"0968-7688"</f>
        <v>0968-7688</v>
      </c>
      <c r="E4672" s="5">
        <v>2.8570000000000002</v>
      </c>
      <c r="F4672" s="5">
        <v>0.307</v>
      </c>
    </row>
    <row r="4673" spans="2:6" x14ac:dyDescent="0.2">
      <c r="B4673" s="9" t="s">
        <v>11125</v>
      </c>
      <c r="C4673" s="15" t="s">
        <v>11126</v>
      </c>
      <c r="D4673" s="12" t="str">
        <f>"2212-8778"</f>
        <v>2212-8778</v>
      </c>
      <c r="E4673" s="5">
        <v>7.4219999999999997</v>
      </c>
      <c r="F4673" s="5">
        <v>0.89700000000000002</v>
      </c>
    </row>
    <row r="4674" spans="2:6" x14ac:dyDescent="0.2">
      <c r="B4674" s="9" t="s">
        <v>6932</v>
      </c>
      <c r="C4674" s="15" t="s">
        <v>2383</v>
      </c>
      <c r="D4674" s="12" t="str">
        <f>"0950-382X"</f>
        <v>0950-382X</v>
      </c>
      <c r="E4674" s="5">
        <v>3.5009999999999999</v>
      </c>
      <c r="F4674" s="5">
        <v>0.51900000000000002</v>
      </c>
    </row>
    <row r="4675" spans="2:6" x14ac:dyDescent="0.2">
      <c r="B4675" s="9" t="s">
        <v>6933</v>
      </c>
      <c r="C4675" s="15" t="s">
        <v>2384</v>
      </c>
      <c r="D4675" s="12" t="str">
        <f>"0893-7648"</f>
        <v>0893-7648</v>
      </c>
      <c r="E4675" s="5">
        <v>5.59</v>
      </c>
      <c r="F4675" s="5">
        <v>0.78400000000000003</v>
      </c>
    </row>
    <row r="4676" spans="2:6" x14ac:dyDescent="0.2">
      <c r="B4676" s="9" t="s">
        <v>747</v>
      </c>
      <c r="C4676" s="15" t="s">
        <v>748</v>
      </c>
      <c r="D4676" s="12" t="str">
        <f>"1750-1326"</f>
        <v>1750-1326</v>
      </c>
      <c r="E4676" s="5">
        <v>14.195</v>
      </c>
      <c r="F4676" s="5">
        <v>0.97799999999999998</v>
      </c>
    </row>
    <row r="4677" spans="2:6" x14ac:dyDescent="0.2">
      <c r="B4677" s="9" t="s">
        <v>11127</v>
      </c>
      <c r="C4677" s="15" t="s">
        <v>11128</v>
      </c>
      <c r="D4677" s="12" t="str">
        <f>"2515-4184"</f>
        <v>2515-4184</v>
      </c>
      <c r="E4677" s="5">
        <v>3.7429999999999999</v>
      </c>
      <c r="F4677" s="5">
        <v>0.46600000000000003</v>
      </c>
    </row>
    <row r="4678" spans="2:6" x14ac:dyDescent="0.2">
      <c r="B4678" s="9" t="s">
        <v>749</v>
      </c>
      <c r="C4678" s="15" t="s">
        <v>750</v>
      </c>
      <c r="D4678" s="12" t="str">
        <f>"1574-7891"</f>
        <v>1574-7891</v>
      </c>
      <c r="E4678" s="5">
        <v>6.6029999999999998</v>
      </c>
      <c r="F4678" s="5">
        <v>0.78800000000000003</v>
      </c>
    </row>
    <row r="4679" spans="2:6" x14ac:dyDescent="0.2">
      <c r="B4679" s="9" t="s">
        <v>11129</v>
      </c>
      <c r="C4679" s="15" t="s">
        <v>11130</v>
      </c>
      <c r="D4679" s="12" t="str">
        <f>"2041-1006"</f>
        <v>2041-1006</v>
      </c>
      <c r="E4679" s="5">
        <v>3.5630000000000002</v>
      </c>
      <c r="F4679" s="5">
        <v>0.76900000000000002</v>
      </c>
    </row>
    <row r="4680" spans="2:6" x14ac:dyDescent="0.2">
      <c r="B4680" s="9" t="s">
        <v>751</v>
      </c>
      <c r="C4680" s="15" t="s">
        <v>752</v>
      </c>
      <c r="D4680" s="12" t="str">
        <f>"1744-8069"</f>
        <v>1744-8069</v>
      </c>
      <c r="E4680" s="5">
        <v>3.395</v>
      </c>
      <c r="F4680" s="5">
        <v>0.432</v>
      </c>
    </row>
    <row r="4681" spans="2:6" x14ac:dyDescent="0.2">
      <c r="B4681" s="9" t="s">
        <v>753</v>
      </c>
      <c r="C4681" s="15" t="s">
        <v>754</v>
      </c>
      <c r="D4681" s="12" t="str">
        <f>"1543-8392"</f>
        <v>1543-8392</v>
      </c>
      <c r="E4681" s="5">
        <v>4.9390000000000001</v>
      </c>
      <c r="F4681" s="5">
        <v>0.753</v>
      </c>
    </row>
    <row r="4682" spans="2:6" x14ac:dyDescent="0.2">
      <c r="B4682" s="9" t="s">
        <v>6934</v>
      </c>
      <c r="C4682" s="15" t="s">
        <v>2385</v>
      </c>
      <c r="D4682" s="12" t="str">
        <f>"0026-895X"</f>
        <v>0026-895X</v>
      </c>
      <c r="E4682" s="5">
        <v>4.4359999999999999</v>
      </c>
      <c r="F4682" s="5">
        <v>0.69499999999999995</v>
      </c>
    </row>
    <row r="4683" spans="2:6" x14ac:dyDescent="0.2">
      <c r="B4683" s="9" t="s">
        <v>6935</v>
      </c>
      <c r="C4683" s="15" t="s">
        <v>2386</v>
      </c>
      <c r="D4683" s="12" t="str">
        <f>"1055-7903"</f>
        <v>1055-7903</v>
      </c>
      <c r="E4683" s="5">
        <v>4.2859999999999996</v>
      </c>
      <c r="F4683" s="5">
        <v>0.76</v>
      </c>
    </row>
    <row r="4684" spans="2:6" x14ac:dyDescent="0.2">
      <c r="B4684" s="9" t="s">
        <v>755</v>
      </c>
      <c r="C4684" s="15" t="s">
        <v>756</v>
      </c>
      <c r="D4684" s="12" t="str">
        <f>"1674-2052"</f>
        <v>1674-2052</v>
      </c>
      <c r="E4684" s="5">
        <v>13.164</v>
      </c>
      <c r="F4684" s="5">
        <v>0.98699999999999999</v>
      </c>
    </row>
    <row r="4685" spans="2:6" x14ac:dyDescent="0.2">
      <c r="B4685" s="9" t="s">
        <v>6936</v>
      </c>
      <c r="C4685" s="15" t="s">
        <v>2387</v>
      </c>
      <c r="D4685" s="12" t="str">
        <f>"0894-0282"</f>
        <v>0894-0282</v>
      </c>
      <c r="E4685" s="5">
        <v>4.1710000000000003</v>
      </c>
      <c r="F4685" s="5">
        <v>0.84699999999999998</v>
      </c>
    </row>
    <row r="4686" spans="2:6" x14ac:dyDescent="0.2">
      <c r="B4686" s="9" t="s">
        <v>6937</v>
      </c>
      <c r="C4686" s="15" t="s">
        <v>2388</v>
      </c>
      <c r="D4686" s="12" t="str">
        <f>"1359-4184"</f>
        <v>1359-4184</v>
      </c>
      <c r="E4686" s="5">
        <v>15.992000000000001</v>
      </c>
      <c r="F4686" s="5">
        <v>0.98199999999999998</v>
      </c>
    </row>
    <row r="4687" spans="2:6" x14ac:dyDescent="0.2">
      <c r="B4687" s="9" t="s">
        <v>6938</v>
      </c>
      <c r="C4687" s="15" t="s">
        <v>2389</v>
      </c>
      <c r="D4687" s="12" t="str">
        <f>"1040-452X"</f>
        <v>1040-452X</v>
      </c>
      <c r="E4687" s="5">
        <v>2.609</v>
      </c>
      <c r="F4687" s="5">
        <v>0.53700000000000003</v>
      </c>
    </row>
    <row r="4688" spans="2:6" x14ac:dyDescent="0.2">
      <c r="B4688" s="9" t="s">
        <v>11131</v>
      </c>
      <c r="C4688" s="15" t="s">
        <v>11132</v>
      </c>
      <c r="D4688" s="12" t="str">
        <f>"1661-8769"</f>
        <v>1661-8769</v>
      </c>
      <c r="E4688" s="5">
        <v>1.631</v>
      </c>
      <c r="F4688" s="5">
        <v>0.13700000000000001</v>
      </c>
    </row>
    <row r="4689" spans="2:6" x14ac:dyDescent="0.2">
      <c r="B4689" s="9" t="s">
        <v>6939</v>
      </c>
      <c r="C4689" s="15" t="s">
        <v>2390</v>
      </c>
      <c r="D4689" s="12" t="str">
        <f>"1744-4292"</f>
        <v>1744-4292</v>
      </c>
      <c r="E4689" s="5">
        <v>11.429</v>
      </c>
      <c r="F4689" s="5">
        <v>0.92200000000000004</v>
      </c>
    </row>
    <row r="4690" spans="2:6" x14ac:dyDescent="0.2">
      <c r="B4690" s="9" t="s">
        <v>6940</v>
      </c>
      <c r="C4690" s="15" t="s">
        <v>2391</v>
      </c>
      <c r="D4690" s="12" t="str">
        <f>"1525-0016"</f>
        <v>1525-0016</v>
      </c>
      <c r="E4690" s="5">
        <v>11.454000000000001</v>
      </c>
      <c r="F4690" s="5">
        <v>0.96799999999999997</v>
      </c>
    </row>
    <row r="4691" spans="2:6" x14ac:dyDescent="0.2">
      <c r="B4691" s="9" t="s">
        <v>11133</v>
      </c>
      <c r="C4691" s="15" t="s">
        <v>11134</v>
      </c>
      <c r="D4691" s="12" t="str">
        <f>"2329-0501"</f>
        <v>2329-0501</v>
      </c>
      <c r="E4691" s="5">
        <v>6.6980000000000004</v>
      </c>
      <c r="F4691" s="5">
        <v>0.82899999999999996</v>
      </c>
    </row>
    <row r="4692" spans="2:6" x14ac:dyDescent="0.2">
      <c r="B4692" s="9" t="s">
        <v>11135</v>
      </c>
      <c r="C4692" s="15" t="s">
        <v>11136</v>
      </c>
      <c r="D4692" s="12" t="str">
        <f>"2162-2531"</f>
        <v>2162-2531</v>
      </c>
      <c r="E4692" s="5">
        <v>8.8859999999999992</v>
      </c>
      <c r="F4692" s="5">
        <v>0.91400000000000003</v>
      </c>
    </row>
    <row r="4693" spans="2:6" x14ac:dyDescent="0.2">
      <c r="B4693" s="9" t="s">
        <v>11137</v>
      </c>
      <c r="C4693" s="15" t="s">
        <v>11138</v>
      </c>
      <c r="D4693" s="12" t="str">
        <f>"2372-7705"</f>
        <v>2372-7705</v>
      </c>
      <c r="E4693" s="5">
        <v>7.2</v>
      </c>
      <c r="F4693" s="5">
        <v>0.86399999999999999</v>
      </c>
    </row>
    <row r="4694" spans="2:6" x14ac:dyDescent="0.2">
      <c r="B4694" s="9" t="s">
        <v>6941</v>
      </c>
      <c r="C4694" s="15" t="s">
        <v>2392</v>
      </c>
      <c r="D4694" s="12" t="str">
        <f>"1090-0535"</f>
        <v>1090-0535</v>
      </c>
      <c r="E4694" s="5">
        <v>2.367</v>
      </c>
      <c r="F4694" s="5">
        <v>0.40300000000000002</v>
      </c>
    </row>
    <row r="4695" spans="2:6" x14ac:dyDescent="0.2">
      <c r="B4695" s="9" t="s">
        <v>6943</v>
      </c>
      <c r="C4695" s="15" t="s">
        <v>2393</v>
      </c>
      <c r="D4695" s="12" t="str">
        <f>"0026-9247"</f>
        <v>0026-9247</v>
      </c>
      <c r="E4695" s="5">
        <v>1.4510000000000001</v>
      </c>
      <c r="F4695" s="5">
        <v>0.253</v>
      </c>
    </row>
    <row r="4696" spans="2:6" x14ac:dyDescent="0.2">
      <c r="B4696" s="9" t="s">
        <v>6944</v>
      </c>
      <c r="C4696" s="15" t="s">
        <v>2394</v>
      </c>
      <c r="D4696" s="12" t="str">
        <f>"0026-9298"</f>
        <v>0026-9298</v>
      </c>
      <c r="E4696" s="5">
        <v>0.32300000000000001</v>
      </c>
      <c r="F4696" s="5">
        <v>2.3E-2</v>
      </c>
    </row>
    <row r="4697" spans="2:6" x14ac:dyDescent="0.2">
      <c r="B4697" s="9" t="s">
        <v>757</v>
      </c>
      <c r="C4697" s="15" t="s">
        <v>758</v>
      </c>
      <c r="D4697" s="12" t="str">
        <f>"0037-976X"</f>
        <v>0037-976X</v>
      </c>
      <c r="E4697" s="5">
        <v>2.3639999999999999</v>
      </c>
      <c r="F4697" s="5">
        <v>0.48099999999999998</v>
      </c>
    </row>
    <row r="4698" spans="2:6" x14ac:dyDescent="0.2">
      <c r="B4698" s="9" t="s">
        <v>759</v>
      </c>
      <c r="C4698" s="15" t="s">
        <v>760</v>
      </c>
      <c r="D4698" s="12" t="str">
        <f>"0146-7239"</f>
        <v>0146-7239</v>
      </c>
      <c r="E4698" s="5">
        <v>2.34</v>
      </c>
      <c r="F4698" s="5">
        <v>0.47799999999999998</v>
      </c>
    </row>
    <row r="4699" spans="2:6" x14ac:dyDescent="0.2">
      <c r="B4699" s="9" t="s">
        <v>6166</v>
      </c>
      <c r="C4699" s="15" t="s">
        <v>6166</v>
      </c>
      <c r="D4699" s="12" t="str">
        <f>"1087-1640"</f>
        <v>1087-1640</v>
      </c>
      <c r="E4699" s="5">
        <v>1.4219999999999999</v>
      </c>
      <c r="F4699" s="5">
        <v>0.159</v>
      </c>
    </row>
    <row r="4700" spans="2:6" x14ac:dyDescent="0.2">
      <c r="B4700" s="9" t="s">
        <v>6167</v>
      </c>
      <c r="C4700" s="15" t="s">
        <v>2395</v>
      </c>
      <c r="D4700" s="12" t="str">
        <f>"0885-3185"</f>
        <v>0885-3185</v>
      </c>
      <c r="E4700" s="5">
        <v>10.337999999999999</v>
      </c>
      <c r="F4700" s="5">
        <v>0.95699999999999996</v>
      </c>
    </row>
    <row r="4701" spans="2:6" x14ac:dyDescent="0.2">
      <c r="B4701" s="9" t="s">
        <v>11139</v>
      </c>
      <c r="C4701" s="15" t="s">
        <v>11140</v>
      </c>
      <c r="D4701" s="12" t="str">
        <f>"0104-754X"</f>
        <v>0104-754X</v>
      </c>
      <c r="E4701" s="5">
        <v>0.52300000000000002</v>
      </c>
      <c r="F4701" s="5">
        <v>0.14699999999999999</v>
      </c>
    </row>
    <row r="4702" spans="2:6" x14ac:dyDescent="0.2">
      <c r="B4702" s="9" t="s">
        <v>7747</v>
      </c>
      <c r="C4702" s="15" t="s">
        <v>3646</v>
      </c>
      <c r="D4702" s="12" t="str">
        <f>"0767-0974"</f>
        <v>0767-0974</v>
      </c>
      <c r="E4702" s="5">
        <v>0.81799999999999995</v>
      </c>
      <c r="F4702" s="5">
        <v>5.7000000000000002E-2</v>
      </c>
    </row>
    <row r="4703" spans="2:6" x14ac:dyDescent="0.2">
      <c r="B4703" s="9" t="s">
        <v>11141</v>
      </c>
      <c r="C4703" s="15" t="s">
        <v>11142</v>
      </c>
      <c r="D4703" s="12" t="str">
        <f>"2379-5042"</f>
        <v>2379-5042</v>
      </c>
      <c r="E4703" s="5">
        <v>4.3890000000000002</v>
      </c>
      <c r="F4703" s="5">
        <v>0.65900000000000003</v>
      </c>
    </row>
    <row r="4704" spans="2:6" x14ac:dyDescent="0.2">
      <c r="B4704" s="9" t="s">
        <v>11143</v>
      </c>
      <c r="C4704" s="15" t="s">
        <v>11144</v>
      </c>
      <c r="D4704" s="12" t="str">
        <f>"2379-5077"</f>
        <v>2379-5077</v>
      </c>
      <c r="E4704" s="5">
        <v>6.4960000000000004</v>
      </c>
      <c r="F4704" s="5">
        <v>0.85199999999999998</v>
      </c>
    </row>
    <row r="4705" spans="2:6" x14ac:dyDescent="0.2">
      <c r="B4705" s="9" t="s">
        <v>11145</v>
      </c>
      <c r="C4705" s="15" t="s">
        <v>11146</v>
      </c>
      <c r="D4705" s="12" t="str">
        <f>"1933-0219"</f>
        <v>1933-0219</v>
      </c>
      <c r="E4705" s="5">
        <v>7.3129999999999997</v>
      </c>
      <c r="F4705" s="5">
        <v>0.82099999999999995</v>
      </c>
    </row>
    <row r="4706" spans="2:6" x14ac:dyDescent="0.2">
      <c r="B4706" s="9" t="s">
        <v>11147</v>
      </c>
      <c r="C4706" s="15" t="s">
        <v>11148</v>
      </c>
      <c r="D4706" s="12" t="str">
        <f>"2213-4794"</f>
        <v>2213-4794</v>
      </c>
      <c r="E4706" s="5">
        <v>2.286</v>
      </c>
      <c r="F4706" s="5">
        <v>0.44400000000000001</v>
      </c>
    </row>
    <row r="4707" spans="2:6" x14ac:dyDescent="0.2">
      <c r="B4707" s="9" t="s">
        <v>6168</v>
      </c>
      <c r="C4707" s="15" t="s">
        <v>2396</v>
      </c>
      <c r="D4707" s="12" t="str">
        <f>"0027-3171"</f>
        <v>0027-3171</v>
      </c>
      <c r="E4707" s="5">
        <v>5.923</v>
      </c>
      <c r="F4707" s="5">
        <v>0.97599999999999998</v>
      </c>
    </row>
    <row r="4708" spans="2:6" x14ac:dyDescent="0.2">
      <c r="B4708" s="9" t="s">
        <v>11149</v>
      </c>
      <c r="C4708" s="15" t="s">
        <v>11150</v>
      </c>
      <c r="D4708" s="12" t="str">
        <f>"1352-4585"</f>
        <v>1352-4585</v>
      </c>
      <c r="E4708" s="5">
        <v>6.3120000000000003</v>
      </c>
      <c r="F4708" s="5">
        <v>0.87</v>
      </c>
    </row>
    <row r="4709" spans="2:6" x14ac:dyDescent="0.2">
      <c r="B4709" s="9" t="s">
        <v>11151</v>
      </c>
      <c r="C4709" s="15" t="s">
        <v>11152</v>
      </c>
      <c r="D4709" s="12" t="str">
        <f>"2211-0348"</f>
        <v>2211-0348</v>
      </c>
      <c r="E4709" s="5">
        <v>4.3390000000000004</v>
      </c>
      <c r="F4709" s="5">
        <v>0.70699999999999996</v>
      </c>
    </row>
    <row r="4710" spans="2:6" x14ac:dyDescent="0.2">
      <c r="B4710" s="9" t="s">
        <v>6169</v>
      </c>
      <c r="C4710" s="15" t="s">
        <v>2397</v>
      </c>
      <c r="D4710" s="12" t="str">
        <f>"0148-639X"</f>
        <v>0148-639X</v>
      </c>
      <c r="E4710" s="5">
        <v>3.2170000000000001</v>
      </c>
      <c r="F4710" s="5">
        <v>0.495</v>
      </c>
    </row>
    <row r="4711" spans="2:6" x14ac:dyDescent="0.2">
      <c r="B4711" s="9" t="s">
        <v>11153</v>
      </c>
      <c r="C4711" s="15" t="s">
        <v>11154</v>
      </c>
      <c r="D4711" s="12" t="str">
        <f>"2468-7812"</f>
        <v>2468-7812</v>
      </c>
      <c r="E4711" s="5">
        <v>2.52</v>
      </c>
      <c r="F4711" s="5">
        <v>0.67200000000000004</v>
      </c>
    </row>
    <row r="4712" spans="2:6" x14ac:dyDescent="0.2">
      <c r="B4712" s="9" t="s">
        <v>761</v>
      </c>
      <c r="C4712" s="15" t="s">
        <v>762</v>
      </c>
      <c r="D4712" s="12" t="str">
        <f>"0730-7829"</f>
        <v>0730-7829</v>
      </c>
      <c r="E4712" s="5">
        <v>1.2709999999999999</v>
      </c>
      <c r="F4712" s="5">
        <v>8.8999999999999996E-2</v>
      </c>
    </row>
    <row r="4713" spans="2:6" x14ac:dyDescent="0.2">
      <c r="B4713" s="9" t="s">
        <v>763</v>
      </c>
      <c r="C4713" s="15" t="s">
        <v>764</v>
      </c>
      <c r="D4713" s="12" t="str">
        <f>"1029-8649"</f>
        <v>1029-8649</v>
      </c>
      <c r="E4713" s="5">
        <v>3.1819999999999999</v>
      </c>
      <c r="F4713" s="5">
        <v>0.67800000000000005</v>
      </c>
    </row>
    <row r="4714" spans="2:6" x14ac:dyDescent="0.2">
      <c r="B4714" s="9" t="s">
        <v>6170</v>
      </c>
      <c r="C4714" s="15" t="s">
        <v>6170</v>
      </c>
      <c r="D4714" s="12" t="str">
        <f>"0267-8357"</f>
        <v>0267-8357</v>
      </c>
      <c r="E4714" s="5">
        <v>3</v>
      </c>
      <c r="F4714" s="5">
        <v>0.44600000000000001</v>
      </c>
    </row>
    <row r="4715" spans="2:6" ht="25.5" x14ac:dyDescent="0.2">
      <c r="B4715" s="9" t="s">
        <v>6171</v>
      </c>
      <c r="C4715" s="15" t="s">
        <v>2398</v>
      </c>
      <c r="D4715" s="12" t="str">
        <f>"1386-1964"</f>
        <v>1386-1964</v>
      </c>
      <c r="E4715" s="5">
        <v>2.4329999999999998</v>
      </c>
      <c r="F4715" s="5">
        <v>0.33100000000000002</v>
      </c>
    </row>
    <row r="4716" spans="2:6" ht="25.5" x14ac:dyDescent="0.2">
      <c r="B4716" s="9" t="s">
        <v>6172</v>
      </c>
      <c r="C4716" s="15" t="s">
        <v>2399</v>
      </c>
      <c r="D4716" s="12" t="str">
        <f>"1383-5718"</f>
        <v>1383-5718</v>
      </c>
      <c r="E4716" s="5">
        <v>2.8730000000000002</v>
      </c>
      <c r="F4716" s="5">
        <v>0.434</v>
      </c>
    </row>
    <row r="4717" spans="2:6" x14ac:dyDescent="0.2">
      <c r="B4717" s="9" t="s">
        <v>6173</v>
      </c>
      <c r="C4717" s="15" t="s">
        <v>2400</v>
      </c>
      <c r="D4717" s="12" t="str">
        <f>"1383-5742"</f>
        <v>1383-5742</v>
      </c>
      <c r="E4717" s="5">
        <v>5.657</v>
      </c>
      <c r="F4717" s="5">
        <v>0.89200000000000002</v>
      </c>
    </row>
    <row r="4718" spans="2:6" x14ac:dyDescent="0.2">
      <c r="B4718" s="9" t="s">
        <v>11155</v>
      </c>
      <c r="C4718" s="15" t="s">
        <v>11155</v>
      </c>
      <c r="D4718" s="12" t="str">
        <f>"1229-8093"</f>
        <v>1229-8093</v>
      </c>
      <c r="E4718" s="5">
        <v>1.8580000000000001</v>
      </c>
      <c r="F4718" s="5">
        <v>0.52700000000000002</v>
      </c>
    </row>
    <row r="4719" spans="2:6" x14ac:dyDescent="0.2">
      <c r="B4719" s="9" t="s">
        <v>11156</v>
      </c>
      <c r="C4719" s="15" t="s">
        <v>11157</v>
      </c>
      <c r="D4719" s="12" t="str">
        <f>"1314-4057"</f>
        <v>1314-4057</v>
      </c>
      <c r="E4719" s="5">
        <v>2.984</v>
      </c>
      <c r="F4719" s="5">
        <v>0.44800000000000001</v>
      </c>
    </row>
    <row r="4720" spans="2:6" x14ac:dyDescent="0.2">
      <c r="B4720" s="9" t="s">
        <v>6174</v>
      </c>
      <c r="C4720" s="15" t="s">
        <v>6174</v>
      </c>
      <c r="D4720" s="12" t="str">
        <f>"0027-5514"</f>
        <v>0027-5514</v>
      </c>
      <c r="E4720" s="5">
        <v>2.6960000000000002</v>
      </c>
      <c r="F4720" s="5">
        <v>0.34499999999999997</v>
      </c>
    </row>
    <row r="4721" spans="2:6" x14ac:dyDescent="0.2">
      <c r="B4721" s="9" t="s">
        <v>765</v>
      </c>
      <c r="C4721" s="15" t="s">
        <v>766</v>
      </c>
      <c r="D4721" s="12" t="str">
        <f>"1617-416X"</f>
        <v>1617-416X</v>
      </c>
      <c r="E4721" s="5">
        <v>2.847</v>
      </c>
      <c r="F4721" s="5">
        <v>0.41399999999999998</v>
      </c>
    </row>
    <row r="4722" spans="2:6" x14ac:dyDescent="0.2">
      <c r="B4722" s="9" t="s">
        <v>6175</v>
      </c>
      <c r="C4722" s="15" t="s">
        <v>6175</v>
      </c>
      <c r="D4722" s="12" t="str">
        <f>"1573-0832"</f>
        <v>1573-0832</v>
      </c>
      <c r="E4722" s="5">
        <v>2.5739999999999998</v>
      </c>
      <c r="F4722" s="5">
        <v>0.31</v>
      </c>
    </row>
    <row r="4723" spans="2:6" x14ac:dyDescent="0.2">
      <c r="B4723" s="9" t="s">
        <v>6176</v>
      </c>
      <c r="C4723" s="15" t="s">
        <v>6176</v>
      </c>
      <c r="D4723" s="12" t="str">
        <f>"0940-6360"</f>
        <v>0940-6360</v>
      </c>
      <c r="E4723" s="5">
        <v>3.387</v>
      </c>
      <c r="F4723" s="5">
        <v>0.749</v>
      </c>
    </row>
    <row r="4724" spans="2:6" x14ac:dyDescent="0.2">
      <c r="B4724" s="9" t="s">
        <v>11158</v>
      </c>
      <c r="C4724" s="15" t="s">
        <v>11158</v>
      </c>
      <c r="D4724" s="12" t="str">
        <f>"1340-3540"</f>
        <v>1340-3540</v>
      </c>
      <c r="E4724" s="5">
        <v>1.2230000000000001</v>
      </c>
      <c r="F4724" s="5">
        <v>0.10299999999999999</v>
      </c>
    </row>
    <row r="4725" spans="2:6" x14ac:dyDescent="0.2">
      <c r="B4725" s="9" t="s">
        <v>6177</v>
      </c>
      <c r="C4725" s="15" t="s">
        <v>6177</v>
      </c>
      <c r="D4725" s="12" t="str">
        <f>"0933-7407"</f>
        <v>0933-7407</v>
      </c>
      <c r="E4725" s="5">
        <v>4.3769999999999998</v>
      </c>
      <c r="F4725" s="5">
        <v>0.82799999999999996</v>
      </c>
    </row>
    <row r="4726" spans="2:6" x14ac:dyDescent="0.2">
      <c r="B4726" s="9" t="s">
        <v>11159</v>
      </c>
      <c r="C4726" s="15" t="s">
        <v>11160</v>
      </c>
      <c r="D4726" s="12" t="str">
        <f>"2077-7000"</f>
        <v>2077-7000</v>
      </c>
      <c r="E4726" s="5">
        <v>4.2110000000000003</v>
      </c>
      <c r="F4726" s="5">
        <v>0.79300000000000004</v>
      </c>
    </row>
    <row r="4727" spans="2:6" x14ac:dyDescent="0.2">
      <c r="B4727" s="9" t="s">
        <v>6178</v>
      </c>
      <c r="C4727" s="15" t="s">
        <v>6178</v>
      </c>
      <c r="D4727" s="12" t="str">
        <f>"0093-4666"</f>
        <v>0093-4666</v>
      </c>
      <c r="E4727" s="5">
        <v>0.54800000000000004</v>
      </c>
      <c r="F4727" s="5">
        <v>3.4000000000000002E-2</v>
      </c>
    </row>
    <row r="4728" spans="2:6" x14ac:dyDescent="0.2">
      <c r="B4728" s="9" t="s">
        <v>11161</v>
      </c>
      <c r="C4728" s="15" t="s">
        <v>11162</v>
      </c>
      <c r="D4728" s="12" t="str">
        <f>"0178-7888"</f>
        <v>0178-7888</v>
      </c>
      <c r="E4728" s="5">
        <v>3.8330000000000002</v>
      </c>
      <c r="F4728" s="5">
        <v>0.72399999999999998</v>
      </c>
    </row>
    <row r="4729" spans="2:6" x14ac:dyDescent="0.2">
      <c r="B4729" s="9" t="s">
        <v>11163</v>
      </c>
      <c r="C4729" s="15" t="s">
        <v>11164</v>
      </c>
      <c r="D4729" s="12" t="str">
        <f>"2186-3326"</f>
        <v>2186-3326</v>
      </c>
      <c r="E4729" s="5">
        <v>1.131</v>
      </c>
      <c r="F4729" s="5">
        <v>9.2999999999999999E-2</v>
      </c>
    </row>
    <row r="4730" spans="2:6" x14ac:dyDescent="0.2">
      <c r="B4730" s="9" t="s">
        <v>11165</v>
      </c>
      <c r="C4730" s="15" t="s">
        <v>11166</v>
      </c>
      <c r="D4730" s="12" t="str">
        <f>"1871-4757"</f>
        <v>1871-4757</v>
      </c>
      <c r="E4730" s="5">
        <v>0.91700000000000004</v>
      </c>
      <c r="F4730" s="5">
        <v>0.5</v>
      </c>
    </row>
    <row r="4731" spans="2:6" x14ac:dyDescent="0.2">
      <c r="B4731" s="9" t="s">
        <v>6179</v>
      </c>
      <c r="C4731" s="15" t="s">
        <v>2401</v>
      </c>
      <c r="D4731" s="12" t="str">
        <f>"1530-6984"</f>
        <v>1530-6984</v>
      </c>
      <c r="E4731" s="5">
        <v>11.189</v>
      </c>
      <c r="F4731" s="5">
        <v>0.91300000000000003</v>
      </c>
    </row>
    <row r="4732" spans="2:6" x14ac:dyDescent="0.2">
      <c r="B4732" s="9" t="s">
        <v>11167</v>
      </c>
      <c r="C4732" s="15" t="s">
        <v>11168</v>
      </c>
      <c r="D4732" s="12" t="str">
        <f>"2079-4991"</f>
        <v>2079-4991</v>
      </c>
      <c r="E4732" s="5">
        <v>5.0759999999999996</v>
      </c>
      <c r="F4732" s="5">
        <v>0.78800000000000003</v>
      </c>
    </row>
    <row r="4733" spans="2:6" x14ac:dyDescent="0.2">
      <c r="B4733" s="9" t="s">
        <v>6181</v>
      </c>
      <c r="C4733" s="15" t="s">
        <v>2403</v>
      </c>
      <c r="D4733" s="12" t="str">
        <f>"1748-6963"</f>
        <v>1748-6963</v>
      </c>
      <c r="E4733" s="5">
        <v>5.3070000000000004</v>
      </c>
      <c r="F4733" s="5">
        <v>0.81599999999999995</v>
      </c>
    </row>
    <row r="4734" spans="2:6" x14ac:dyDescent="0.2">
      <c r="B4734" s="9" t="s">
        <v>767</v>
      </c>
      <c r="C4734" s="15" t="s">
        <v>768</v>
      </c>
      <c r="D4734" s="12" t="str">
        <f>"1549-9642"</f>
        <v>1549-9642</v>
      </c>
      <c r="E4734" s="5">
        <v>6.4580000000000002</v>
      </c>
      <c r="F4734" s="5">
        <v>0.80700000000000005</v>
      </c>
    </row>
    <row r="4735" spans="2:6" x14ac:dyDescent="0.2">
      <c r="B4735" s="9" t="s">
        <v>11169</v>
      </c>
      <c r="C4735" s="15" t="s">
        <v>11170</v>
      </c>
      <c r="D4735" s="12" t="str">
        <f>"2192-8606"</f>
        <v>2192-8606</v>
      </c>
      <c r="E4735" s="5">
        <v>8.4489999999999998</v>
      </c>
      <c r="F4735" s="5">
        <v>0.91900000000000004</v>
      </c>
    </row>
    <row r="4736" spans="2:6" x14ac:dyDescent="0.2">
      <c r="B4736" s="9" t="s">
        <v>11171</v>
      </c>
      <c r="C4736" s="15" t="s">
        <v>11172</v>
      </c>
      <c r="D4736" s="12" t="str">
        <f>"2040-3364"</f>
        <v>2040-3364</v>
      </c>
      <c r="E4736" s="5">
        <v>7.79</v>
      </c>
      <c r="F4736" s="5">
        <v>0.86299999999999999</v>
      </c>
    </row>
    <row r="4737" spans="2:6" x14ac:dyDescent="0.2">
      <c r="B4737" s="9" t="s">
        <v>11173</v>
      </c>
      <c r="C4737" s="15" t="s">
        <v>11173</v>
      </c>
      <c r="D4737" s="12" t="str">
        <f>"2516-0230"</f>
        <v>2516-0230</v>
      </c>
      <c r="E4737" s="5">
        <v>4.5529999999999999</v>
      </c>
      <c r="F4737" s="5">
        <v>0.66400000000000003</v>
      </c>
    </row>
    <row r="4738" spans="2:6" x14ac:dyDescent="0.2">
      <c r="B4738" s="9" t="s">
        <v>6182</v>
      </c>
      <c r="C4738" s="15" t="s">
        <v>2404</v>
      </c>
      <c r="D4738" s="12" t="str">
        <f>"1556-7265"</f>
        <v>1556-7265</v>
      </c>
      <c r="E4738" s="5">
        <v>2.1819999999999999</v>
      </c>
      <c r="F4738" s="5">
        <v>0.68799999999999994</v>
      </c>
    </row>
    <row r="4739" spans="2:6" x14ac:dyDescent="0.2">
      <c r="B4739" s="9" t="s">
        <v>11174</v>
      </c>
      <c r="C4739" s="15" t="s">
        <v>11175</v>
      </c>
      <c r="D4739" s="12" t="str">
        <f>"2191-9089"</f>
        <v>2191-9089</v>
      </c>
      <c r="E4739" s="5">
        <v>7.8479999999999999</v>
      </c>
      <c r="F4739" s="5">
        <v>0.86899999999999999</v>
      </c>
    </row>
    <row r="4740" spans="2:6" x14ac:dyDescent="0.2">
      <c r="B4740" s="9" t="s">
        <v>6180</v>
      </c>
      <c r="C4740" s="15" t="s">
        <v>2402</v>
      </c>
      <c r="D4740" s="12" t="str">
        <f>"1748-0132"</f>
        <v>1748-0132</v>
      </c>
      <c r="E4740" s="5">
        <v>20.722000000000001</v>
      </c>
      <c r="F4740" s="5">
        <v>0.96399999999999997</v>
      </c>
    </row>
    <row r="4741" spans="2:6" x14ac:dyDescent="0.2">
      <c r="B4741" s="9" t="s">
        <v>769</v>
      </c>
      <c r="C4741" s="15" t="s">
        <v>770</v>
      </c>
      <c r="D4741" s="12" t="str">
        <f>"1743-5390"</f>
        <v>1743-5390</v>
      </c>
      <c r="E4741" s="5">
        <v>5.9130000000000003</v>
      </c>
      <c r="F4741" s="5">
        <v>0.90300000000000002</v>
      </c>
    </row>
    <row r="4742" spans="2:6" x14ac:dyDescent="0.2">
      <c r="B4742" s="9" t="s">
        <v>11176</v>
      </c>
      <c r="C4742" s="15" t="s">
        <v>11177</v>
      </c>
      <c r="D4742" s="12" t="str">
        <f>"2157-846X"</f>
        <v>2157-846X</v>
      </c>
      <c r="E4742" s="5">
        <v>25.670999999999999</v>
      </c>
      <c r="F4742" s="5">
        <v>1</v>
      </c>
    </row>
    <row r="4743" spans="2:6" x14ac:dyDescent="0.2">
      <c r="B4743" s="9" t="s">
        <v>6183</v>
      </c>
      <c r="C4743" s="15" t="s">
        <v>2405</v>
      </c>
      <c r="D4743" s="12" t="str">
        <f>"1087-0156"</f>
        <v>1087-0156</v>
      </c>
      <c r="E4743" s="5">
        <v>54.908000000000001</v>
      </c>
      <c r="F4743" s="5">
        <v>0.99399999999999999</v>
      </c>
    </row>
    <row r="4744" spans="2:6" x14ac:dyDescent="0.2">
      <c r="B4744" s="9" t="s">
        <v>6184</v>
      </c>
      <c r="C4744" s="15" t="s">
        <v>2406</v>
      </c>
      <c r="D4744" s="12" t="str">
        <f>"1476-4679"</f>
        <v>1476-4679</v>
      </c>
      <c r="E4744" s="5">
        <v>28.824000000000002</v>
      </c>
      <c r="F4744" s="5">
        <v>0.97899999999999998</v>
      </c>
    </row>
    <row r="4745" spans="2:6" x14ac:dyDescent="0.2">
      <c r="B4745" s="9" t="s">
        <v>11178</v>
      </c>
      <c r="C4745" s="15" t="s">
        <v>11179</v>
      </c>
      <c r="D4745" s="12" t="str">
        <f>"1755-4330"</f>
        <v>1755-4330</v>
      </c>
      <c r="E4745" s="5">
        <v>24.427</v>
      </c>
      <c r="F4745" s="5">
        <v>0.96599999999999997</v>
      </c>
    </row>
    <row r="4746" spans="2:6" x14ac:dyDescent="0.2">
      <c r="B4746" s="9" t="s">
        <v>6185</v>
      </c>
      <c r="C4746" s="15" t="s">
        <v>2407</v>
      </c>
      <c r="D4746" s="12" t="str">
        <f>"1552-4469"</f>
        <v>1552-4469</v>
      </c>
      <c r="E4746" s="5">
        <v>15.04</v>
      </c>
      <c r="F4746" s="5">
        <v>0.95599999999999996</v>
      </c>
    </row>
    <row r="4747" spans="2:6" x14ac:dyDescent="0.2">
      <c r="B4747" s="9" t="s">
        <v>11180</v>
      </c>
      <c r="C4747" s="15" t="s">
        <v>11181</v>
      </c>
      <c r="D4747" s="12" t="str">
        <f>"2041-1723"</f>
        <v>2041-1723</v>
      </c>
      <c r="E4747" s="5">
        <v>14.919</v>
      </c>
      <c r="F4747" s="5">
        <v>0.95799999999999996</v>
      </c>
    </row>
    <row r="4748" spans="2:6" x14ac:dyDescent="0.2">
      <c r="B4748" s="9" t="s">
        <v>6186</v>
      </c>
      <c r="C4748" s="15" t="s">
        <v>2408</v>
      </c>
      <c r="D4748" s="12" t="str">
        <f>"1061-4036"</f>
        <v>1061-4036</v>
      </c>
      <c r="E4748" s="5">
        <v>38.33</v>
      </c>
      <c r="F4748" s="5">
        <v>0.99399999999999999</v>
      </c>
    </row>
    <row r="4749" spans="2:6" x14ac:dyDescent="0.2">
      <c r="B4749" s="9" t="s">
        <v>11182</v>
      </c>
      <c r="C4749" s="15" t="s">
        <v>11183</v>
      </c>
      <c r="D4749" s="12" t="str">
        <f>"2397-3374"</f>
        <v>2397-3374</v>
      </c>
      <c r="E4749" s="5">
        <v>13.663</v>
      </c>
      <c r="F4749" s="5">
        <v>0.98899999999999999</v>
      </c>
    </row>
    <row r="4750" spans="2:6" x14ac:dyDescent="0.2">
      <c r="B4750" s="9" t="s">
        <v>6187</v>
      </c>
      <c r="C4750" s="15" t="s">
        <v>2409</v>
      </c>
      <c r="D4750" s="12" t="str">
        <f>"1529-2908"</f>
        <v>1529-2908</v>
      </c>
      <c r="E4750" s="5">
        <v>25.606000000000002</v>
      </c>
      <c r="F4750" s="5">
        <v>0.98099999999999998</v>
      </c>
    </row>
    <row r="4751" spans="2:6" x14ac:dyDescent="0.2">
      <c r="B4751" s="9" t="s">
        <v>6201</v>
      </c>
      <c r="C4751" s="15" t="s">
        <v>2423</v>
      </c>
      <c r="D4751" s="12" t="str">
        <f>"0250-541X"</f>
        <v>0250-541X</v>
      </c>
      <c r="E4751" s="5">
        <v>0.78800000000000003</v>
      </c>
      <c r="F4751" s="5">
        <v>0.16700000000000001</v>
      </c>
    </row>
    <row r="4752" spans="2:6" x14ac:dyDescent="0.2">
      <c r="B4752" s="9" t="s">
        <v>6202</v>
      </c>
      <c r="C4752" s="15" t="s">
        <v>2424</v>
      </c>
      <c r="D4752" s="12" t="str">
        <f>"0970-258X"</f>
        <v>0970-258X</v>
      </c>
      <c r="E4752" s="5">
        <v>0.53700000000000003</v>
      </c>
      <c r="F4752" s="5">
        <v>7.1999999999999995E-2</v>
      </c>
    </row>
    <row r="4753" spans="2:6" x14ac:dyDescent="0.2">
      <c r="B4753" s="9" t="s">
        <v>11184</v>
      </c>
      <c r="C4753" s="15" t="s">
        <v>11185</v>
      </c>
      <c r="D4753" s="12" t="str">
        <f>"2095-5138"</f>
        <v>2095-5138</v>
      </c>
      <c r="E4753" s="5">
        <v>17.274999999999999</v>
      </c>
      <c r="F4753" s="5">
        <v>0.97199999999999998</v>
      </c>
    </row>
    <row r="4754" spans="2:6" x14ac:dyDescent="0.2">
      <c r="B4754" s="9" t="s">
        <v>11186</v>
      </c>
      <c r="C4754" s="15" t="s">
        <v>11187</v>
      </c>
      <c r="D4754" s="12" t="str">
        <f>"2522-5839"</f>
        <v>2522-5839</v>
      </c>
      <c r="E4754" s="5">
        <v>15.507999999999999</v>
      </c>
      <c r="F4754" s="5">
        <v>1</v>
      </c>
    </row>
    <row r="4755" spans="2:6" x14ac:dyDescent="0.2">
      <c r="B4755" s="9" t="s">
        <v>6188</v>
      </c>
      <c r="C4755" s="15" t="s">
        <v>2410</v>
      </c>
      <c r="D4755" s="12" t="str">
        <f>"1078-8956"</f>
        <v>1078-8956</v>
      </c>
      <c r="E4755" s="5">
        <v>53.44</v>
      </c>
      <c r="F4755" s="5">
        <v>1</v>
      </c>
    </row>
    <row r="4756" spans="2:6" x14ac:dyDescent="0.2">
      <c r="B4756" s="9" t="s">
        <v>6189</v>
      </c>
      <c r="C4756" s="15" t="s">
        <v>2411</v>
      </c>
      <c r="D4756" s="12" t="str">
        <f>"1548-7091"</f>
        <v>1548-7091</v>
      </c>
      <c r="E4756" s="5">
        <v>28.547000000000001</v>
      </c>
      <c r="F4756" s="5">
        <v>1</v>
      </c>
    </row>
    <row r="4757" spans="2:6" x14ac:dyDescent="0.2">
      <c r="B4757" s="9" t="s">
        <v>11188</v>
      </c>
      <c r="C4757" s="15" t="s">
        <v>11189</v>
      </c>
      <c r="D4757" s="12" t="str">
        <f>"2058-5276"</f>
        <v>2058-5276</v>
      </c>
      <c r="E4757" s="5">
        <v>17.745000000000001</v>
      </c>
      <c r="F4757" s="5">
        <v>0.97799999999999998</v>
      </c>
    </row>
    <row r="4758" spans="2:6" x14ac:dyDescent="0.2">
      <c r="B4758" s="9" t="s">
        <v>6190</v>
      </c>
      <c r="C4758" s="15" t="s">
        <v>2412</v>
      </c>
      <c r="D4758" s="12" t="str">
        <f>"1097-6256"</f>
        <v>1097-6256</v>
      </c>
      <c r="E4758" s="5">
        <v>24.884</v>
      </c>
      <c r="F4758" s="5">
        <v>0.996</v>
      </c>
    </row>
    <row r="4759" spans="2:6" x14ac:dyDescent="0.2">
      <c r="B4759" s="9" t="s">
        <v>771</v>
      </c>
      <c r="C4759" s="15" t="s">
        <v>772</v>
      </c>
      <c r="D4759" s="12" t="str">
        <f>"1749-4885"</f>
        <v>1749-4885</v>
      </c>
      <c r="E4759" s="5">
        <v>38.771000000000001</v>
      </c>
      <c r="F4759" s="5">
        <v>1</v>
      </c>
    </row>
    <row r="4760" spans="2:6" x14ac:dyDescent="0.2">
      <c r="B4760" s="9" t="s">
        <v>773</v>
      </c>
      <c r="C4760" s="15" t="s">
        <v>11190</v>
      </c>
      <c r="D4760" s="12" t="str">
        <f>"1745-2473"</f>
        <v>1745-2473</v>
      </c>
      <c r="E4760" s="5">
        <v>20.033999999999999</v>
      </c>
      <c r="F4760" s="5">
        <v>0.96499999999999997</v>
      </c>
    </row>
    <row r="4761" spans="2:6" x14ac:dyDescent="0.2">
      <c r="B4761" s="9" t="s">
        <v>775</v>
      </c>
      <c r="C4761" s="15" t="s">
        <v>776</v>
      </c>
      <c r="D4761" s="12" t="str">
        <f>"1934-578X"</f>
        <v>1934-578X</v>
      </c>
      <c r="E4761" s="5">
        <v>0.98599999999999999</v>
      </c>
      <c r="F4761" s="5">
        <v>0.126</v>
      </c>
    </row>
    <row r="4762" spans="2:6" x14ac:dyDescent="0.2">
      <c r="B4762" s="9" t="s">
        <v>6191</v>
      </c>
      <c r="C4762" s="15" t="s">
        <v>2413</v>
      </c>
      <c r="D4762" s="12" t="str">
        <f>"0265-0568"</f>
        <v>0265-0568</v>
      </c>
      <c r="E4762" s="5">
        <v>13.423</v>
      </c>
      <c r="F4762" s="5">
        <v>1</v>
      </c>
    </row>
    <row r="4763" spans="2:6" x14ac:dyDescent="0.2">
      <c r="B4763" s="9" t="s">
        <v>6192</v>
      </c>
      <c r="C4763" s="15" t="s">
        <v>2414</v>
      </c>
      <c r="D4763" s="12" t="str">
        <f>"1478-6419"</f>
        <v>1478-6419</v>
      </c>
      <c r="E4763" s="5">
        <v>2.8610000000000002</v>
      </c>
      <c r="F4763" s="5">
        <v>0.56799999999999995</v>
      </c>
    </row>
    <row r="4764" spans="2:6" x14ac:dyDescent="0.2">
      <c r="B4764" s="9" t="s">
        <v>777</v>
      </c>
      <c r="C4764" s="15" t="s">
        <v>774</v>
      </c>
      <c r="D4764" s="12" t="str">
        <f>"1754-2189"</f>
        <v>1754-2189</v>
      </c>
      <c r="E4764" s="5">
        <v>13.491</v>
      </c>
      <c r="F4764" s="5">
        <v>0.98699999999999999</v>
      </c>
    </row>
    <row r="4765" spans="2:6" x14ac:dyDescent="0.2">
      <c r="B4765" s="9" t="s">
        <v>6193</v>
      </c>
      <c r="C4765" s="15" t="s">
        <v>2415</v>
      </c>
      <c r="D4765" s="12" t="str">
        <f>"1474-175X"</f>
        <v>1474-175X</v>
      </c>
      <c r="E4765" s="5">
        <v>60.716000000000001</v>
      </c>
      <c r="F4765" s="5">
        <v>0.99199999999999999</v>
      </c>
    </row>
    <row r="4766" spans="2:6" x14ac:dyDescent="0.2">
      <c r="B4766" s="9" t="s">
        <v>11191</v>
      </c>
      <c r="C4766" s="15" t="s">
        <v>11192</v>
      </c>
      <c r="D4766" s="12" t="str">
        <f>"1759-5010"</f>
        <v>1759-5010</v>
      </c>
      <c r="E4766" s="5">
        <v>32.418999999999997</v>
      </c>
      <c r="F4766" s="5">
        <v>1</v>
      </c>
    </row>
    <row r="4767" spans="2:6" x14ac:dyDescent="0.2">
      <c r="B4767" s="9" t="s">
        <v>11193</v>
      </c>
      <c r="C4767" s="15" t="s">
        <v>11194</v>
      </c>
      <c r="D4767" s="12" t="str">
        <f>"2397-3358"</f>
        <v>2397-3358</v>
      </c>
      <c r="E4767" s="5">
        <v>34.034999999999997</v>
      </c>
      <c r="F4767" s="5">
        <v>0.98299999999999998</v>
      </c>
    </row>
    <row r="4768" spans="2:6" x14ac:dyDescent="0.2">
      <c r="B4768" s="9" t="s">
        <v>11195</v>
      </c>
      <c r="C4768" s="15" t="s">
        <v>11196</v>
      </c>
      <c r="D4768" s="12" t="str">
        <f>"1759-4774"</f>
        <v>1759-4774</v>
      </c>
      <c r="E4768" s="5">
        <v>66.674999999999997</v>
      </c>
      <c r="F4768" s="5">
        <v>0.996</v>
      </c>
    </row>
    <row r="4769" spans="2:6" x14ac:dyDescent="0.2">
      <c r="B4769" s="9" t="s">
        <v>11197</v>
      </c>
      <c r="C4769" s="15" t="s">
        <v>11198</v>
      </c>
      <c r="D4769" s="12" t="str">
        <f>"2056-676X"</f>
        <v>2056-676X</v>
      </c>
      <c r="E4769" s="5">
        <v>52.329000000000001</v>
      </c>
      <c r="F4769" s="5">
        <v>0.98199999999999998</v>
      </c>
    </row>
    <row r="4770" spans="2:6" x14ac:dyDescent="0.2">
      <c r="B4770" s="9" t="s">
        <v>6194</v>
      </c>
      <c r="C4770" s="15" t="s">
        <v>2416</v>
      </c>
      <c r="D4770" s="12" t="str">
        <f>"1474-1776"</f>
        <v>1474-1776</v>
      </c>
      <c r="E4770" s="5">
        <v>84.694000000000003</v>
      </c>
      <c r="F4770" s="5">
        <v>1</v>
      </c>
    </row>
    <row r="4771" spans="2:6" x14ac:dyDescent="0.2">
      <c r="B4771" s="9" t="s">
        <v>11199</v>
      </c>
      <c r="C4771" s="15" t="s">
        <v>11200</v>
      </c>
      <c r="D4771" s="12" t="str">
        <f>"1759-5029"</f>
        <v>1759-5029</v>
      </c>
      <c r="E4771" s="5">
        <v>43.33</v>
      </c>
      <c r="F4771" s="5">
        <v>1</v>
      </c>
    </row>
    <row r="4772" spans="2:6" x14ac:dyDescent="0.2">
      <c r="B4772" s="9" t="s">
        <v>11201</v>
      </c>
      <c r="C4772" s="15" t="s">
        <v>11202</v>
      </c>
      <c r="D4772" s="12" t="str">
        <f>"1759-5045"</f>
        <v>1759-5045</v>
      </c>
      <c r="E4772" s="5">
        <v>46.802</v>
      </c>
      <c r="F4772" s="5">
        <v>1</v>
      </c>
    </row>
    <row r="4773" spans="2:6" x14ac:dyDescent="0.2">
      <c r="B4773" s="9" t="s">
        <v>6195</v>
      </c>
      <c r="C4773" s="15" t="s">
        <v>2417</v>
      </c>
      <c r="D4773" s="12" t="str">
        <f>"1471-0056"</f>
        <v>1471-0056</v>
      </c>
      <c r="E4773" s="5">
        <v>53.241999999999997</v>
      </c>
      <c r="F4773" s="5">
        <v>1</v>
      </c>
    </row>
    <row r="4774" spans="2:6" x14ac:dyDescent="0.2">
      <c r="B4774" s="9" t="s">
        <v>6196</v>
      </c>
      <c r="C4774" s="15" t="s">
        <v>2418</v>
      </c>
      <c r="D4774" s="12" t="str">
        <f>"1474-1733"</f>
        <v>1474-1733</v>
      </c>
      <c r="E4774" s="5">
        <v>53.106000000000002</v>
      </c>
      <c r="F4774" s="5">
        <v>1</v>
      </c>
    </row>
    <row r="4775" spans="2:6" x14ac:dyDescent="0.2">
      <c r="B4775" s="9" t="s">
        <v>6197</v>
      </c>
      <c r="C4775" s="15" t="s">
        <v>2419</v>
      </c>
      <c r="D4775" s="12" t="str">
        <f>"1740-1526"</f>
        <v>1740-1526</v>
      </c>
      <c r="E4775" s="5">
        <v>60.633000000000003</v>
      </c>
      <c r="F4775" s="5">
        <v>1</v>
      </c>
    </row>
    <row r="4776" spans="2:6" x14ac:dyDescent="0.2">
      <c r="B4776" s="9" t="s">
        <v>6198</v>
      </c>
      <c r="C4776" s="15" t="s">
        <v>2420</v>
      </c>
      <c r="D4776" s="12" t="str">
        <f>"1471-0072"</f>
        <v>1471-0072</v>
      </c>
      <c r="E4776" s="5">
        <v>94.444000000000003</v>
      </c>
      <c r="F4776" s="5">
        <v>1</v>
      </c>
    </row>
    <row r="4777" spans="2:6" x14ac:dyDescent="0.2">
      <c r="B4777" s="9" t="s">
        <v>11203</v>
      </c>
      <c r="C4777" s="15" t="s">
        <v>11204</v>
      </c>
      <c r="D4777" s="12" t="str">
        <f>"1759-5061"</f>
        <v>1759-5061</v>
      </c>
      <c r="E4777" s="5">
        <v>28.314</v>
      </c>
      <c r="F4777" s="5">
        <v>1</v>
      </c>
    </row>
    <row r="4778" spans="2:6" x14ac:dyDescent="0.2">
      <c r="B4778" s="9" t="s">
        <v>11205</v>
      </c>
      <c r="C4778" s="15" t="s">
        <v>11206</v>
      </c>
      <c r="D4778" s="12" t="str">
        <f>"1759-4758"</f>
        <v>1759-4758</v>
      </c>
      <c r="E4778" s="5">
        <v>42.936999999999998</v>
      </c>
      <c r="F4778" s="5">
        <v>0.995</v>
      </c>
    </row>
    <row r="4779" spans="2:6" x14ac:dyDescent="0.2">
      <c r="B4779" s="9" t="s">
        <v>6199</v>
      </c>
      <c r="C4779" s="15" t="s">
        <v>2421</v>
      </c>
      <c r="D4779" s="12" t="str">
        <f>"1471-003X"</f>
        <v>1471-003X</v>
      </c>
      <c r="E4779" s="5">
        <v>34.869999999999997</v>
      </c>
      <c r="F4779" s="5">
        <v>1</v>
      </c>
    </row>
    <row r="4780" spans="2:6" x14ac:dyDescent="0.2">
      <c r="B4780" s="9" t="s">
        <v>11207</v>
      </c>
      <c r="C4780" s="15" t="s">
        <v>11208</v>
      </c>
      <c r="D4780" s="12" t="str">
        <f>"1759-4790"</f>
        <v>1759-4790</v>
      </c>
      <c r="E4780" s="5">
        <v>20.542999999999999</v>
      </c>
      <c r="F4780" s="5">
        <v>1</v>
      </c>
    </row>
    <row r="4781" spans="2:6" x14ac:dyDescent="0.2">
      <c r="B4781" s="9" t="s">
        <v>11209</v>
      </c>
      <c r="C4781" s="15" t="s">
        <v>11210</v>
      </c>
      <c r="D4781" s="12" t="str">
        <f>"1759-4812"</f>
        <v>1759-4812</v>
      </c>
      <c r="E4781" s="5">
        <v>14.432</v>
      </c>
      <c r="F4781" s="5">
        <v>0.97799999999999998</v>
      </c>
    </row>
    <row r="4782" spans="2:6" x14ac:dyDescent="0.2">
      <c r="B4782" s="9" t="s">
        <v>11211</v>
      </c>
      <c r="C4782" s="15" t="s">
        <v>11212</v>
      </c>
      <c r="D4782" s="12" t="str">
        <f>"1179-1608"</f>
        <v>1179-1608</v>
      </c>
      <c r="E4782" s="5">
        <v>5.3460000000000001</v>
      </c>
      <c r="F4782" s="5">
        <v>0.81299999999999994</v>
      </c>
    </row>
    <row r="4783" spans="2:6" x14ac:dyDescent="0.2">
      <c r="B4783" s="9" t="s">
        <v>6200</v>
      </c>
      <c r="C4783" s="15" t="s">
        <v>2422</v>
      </c>
      <c r="D4783" s="12" t="str">
        <f>"1545-9993"</f>
        <v>1545-9993</v>
      </c>
      <c r="E4783" s="5">
        <v>15.369</v>
      </c>
      <c r="F4783" s="5">
        <v>1</v>
      </c>
    </row>
    <row r="4784" spans="2:6" x14ac:dyDescent="0.2">
      <c r="B4784" s="9" t="s">
        <v>6203</v>
      </c>
      <c r="C4784" s="15" t="s">
        <v>6203</v>
      </c>
      <c r="D4784" s="12" t="str">
        <f>"0028-0836"</f>
        <v>0028-0836</v>
      </c>
      <c r="E4784" s="5">
        <v>49.962000000000003</v>
      </c>
      <c r="F4784" s="5">
        <v>1</v>
      </c>
    </row>
    <row r="4785" spans="2:6" x14ac:dyDescent="0.2">
      <c r="B4785" s="9" t="s">
        <v>11213</v>
      </c>
      <c r="C4785" s="15" t="s">
        <v>11213</v>
      </c>
      <c r="D4785" s="12" t="str">
        <f>"2522-5812"</f>
        <v>2522-5812</v>
      </c>
      <c r="E4785" s="5">
        <v>13.510999999999999</v>
      </c>
      <c r="F4785" s="5">
        <v>0.96599999999999997</v>
      </c>
    </row>
    <row r="4786" spans="2:6" x14ac:dyDescent="0.2">
      <c r="B4786" s="9" t="s">
        <v>778</v>
      </c>
      <c r="C4786" s="15" t="s">
        <v>11214</v>
      </c>
      <c r="D4786" s="12" t="str">
        <f>"0146-7875"</f>
        <v>0146-7875</v>
      </c>
      <c r="E4786" s="5">
        <v>0.35699999999999998</v>
      </c>
      <c r="F4786" s="5">
        <v>3.1E-2</v>
      </c>
    </row>
    <row r="4787" spans="2:6" x14ac:dyDescent="0.2">
      <c r="B4787" s="9" t="s">
        <v>6204</v>
      </c>
      <c r="C4787" s="15" t="s">
        <v>6204</v>
      </c>
      <c r="D4787" s="12" t="str">
        <f>"0211-6995"</f>
        <v>0211-6995</v>
      </c>
      <c r="E4787" s="5">
        <v>2.0329999999999999</v>
      </c>
      <c r="F4787" s="5">
        <v>0.25800000000000001</v>
      </c>
    </row>
    <row r="4788" spans="2:6" x14ac:dyDescent="0.2">
      <c r="B4788" s="9" t="s">
        <v>11215</v>
      </c>
      <c r="C4788" s="15" t="s">
        <v>11216</v>
      </c>
      <c r="D4788" s="12" t="str">
        <f>"1750-4708"</f>
        <v>1750-4708</v>
      </c>
      <c r="E4788" s="5">
        <v>1.2629999999999999</v>
      </c>
      <c r="F4788" s="5">
        <v>0.108</v>
      </c>
    </row>
    <row r="4789" spans="2:6" x14ac:dyDescent="0.2">
      <c r="B4789" s="9" t="s">
        <v>779</v>
      </c>
      <c r="C4789" s="15" t="s">
        <v>780</v>
      </c>
      <c r="D4789" s="12" t="str">
        <f>"0748-4526"</f>
        <v>0748-4526</v>
      </c>
      <c r="E4789" s="5">
        <v>0.40899999999999997</v>
      </c>
      <c r="F4789" s="5">
        <v>9.1999999999999998E-2</v>
      </c>
    </row>
    <row r="4790" spans="2:6" x14ac:dyDescent="0.2">
      <c r="B4790" s="9" t="s">
        <v>781</v>
      </c>
      <c r="C4790" s="15" t="s">
        <v>782</v>
      </c>
      <c r="D4790" s="12" t="str">
        <f>"1661-7800"</f>
        <v>1661-7800</v>
      </c>
      <c r="E4790" s="5">
        <v>4.0350000000000001</v>
      </c>
      <c r="F4790" s="5">
        <v>0.91500000000000004</v>
      </c>
    </row>
    <row r="4791" spans="2:6" x14ac:dyDescent="0.2">
      <c r="B4791" s="9" t="s">
        <v>6205</v>
      </c>
      <c r="C4791" s="15" t="s">
        <v>6205</v>
      </c>
      <c r="D4791" s="12" t="str">
        <f>"1476-5586"</f>
        <v>1476-5586</v>
      </c>
      <c r="E4791" s="5">
        <v>5.7149999999999999</v>
      </c>
      <c r="F4791" s="5">
        <v>0.70499999999999996</v>
      </c>
    </row>
    <row r="4792" spans="2:6" x14ac:dyDescent="0.2">
      <c r="B4792" s="9" t="s">
        <v>6206</v>
      </c>
      <c r="C4792" s="15" t="s">
        <v>6206</v>
      </c>
      <c r="D4792" s="12" t="str">
        <f>"0028-2685"</f>
        <v>0028-2685</v>
      </c>
      <c r="E4792" s="5">
        <v>2.5750000000000002</v>
      </c>
      <c r="F4792" s="5">
        <v>0.17</v>
      </c>
    </row>
    <row r="4793" spans="2:6" x14ac:dyDescent="0.2">
      <c r="B4793" s="9" t="s">
        <v>6207</v>
      </c>
      <c r="C4793" s="15" t="s">
        <v>2425</v>
      </c>
      <c r="D4793" s="12" t="str">
        <f>"0931-0509"</f>
        <v>0931-0509</v>
      </c>
      <c r="E4793" s="5">
        <v>5.992</v>
      </c>
      <c r="F4793" s="5">
        <v>0.92</v>
      </c>
    </row>
    <row r="4794" spans="2:6" x14ac:dyDescent="0.2">
      <c r="B4794" s="9" t="s">
        <v>11217</v>
      </c>
      <c r="C4794" s="15" t="s">
        <v>11218</v>
      </c>
      <c r="D4794" s="12" t="str">
        <f>"1526-744X"</f>
        <v>1526-744X</v>
      </c>
      <c r="E4794" s="5">
        <v>0.95899999999999996</v>
      </c>
      <c r="F4794" s="5">
        <v>9.5000000000000001E-2</v>
      </c>
    </row>
    <row r="4795" spans="2:6" x14ac:dyDescent="0.2">
      <c r="B4795" s="9" t="s">
        <v>6208</v>
      </c>
      <c r="C4795" s="15" t="s">
        <v>6208</v>
      </c>
      <c r="D4795" s="12" t="str">
        <f>"1440-1797"</f>
        <v>1440-1797</v>
      </c>
      <c r="E4795" s="5">
        <v>2.5059999999999998</v>
      </c>
      <c r="F4795" s="5">
        <v>0.39300000000000002</v>
      </c>
    </row>
    <row r="4796" spans="2:6" x14ac:dyDescent="0.2">
      <c r="B4796" s="9" t="s">
        <v>783</v>
      </c>
      <c r="C4796" s="15" t="s">
        <v>784</v>
      </c>
      <c r="D4796" s="12" t="str">
        <f>"1769-7255"</f>
        <v>1769-7255</v>
      </c>
      <c r="E4796" s="5">
        <v>0.72199999999999998</v>
      </c>
      <c r="F4796" s="5">
        <v>5.6000000000000001E-2</v>
      </c>
    </row>
    <row r="4797" spans="2:6" x14ac:dyDescent="0.2">
      <c r="B4797" s="9" t="s">
        <v>11219</v>
      </c>
      <c r="C4797" s="15" t="s">
        <v>11219</v>
      </c>
      <c r="D4797" s="12" t="str">
        <f>"1660-8151"</f>
        <v>1660-8151</v>
      </c>
      <c r="E4797" s="5">
        <v>2.847</v>
      </c>
      <c r="F4797" s="5">
        <v>0.48299999999999998</v>
      </c>
    </row>
    <row r="4798" spans="2:6" x14ac:dyDescent="0.2">
      <c r="B4798" s="9" t="s">
        <v>6209</v>
      </c>
      <c r="C4798" s="15" t="s">
        <v>6209</v>
      </c>
      <c r="D4798" s="12" t="str">
        <f>"0028-2804"</f>
        <v>0028-2804</v>
      </c>
      <c r="E4798" s="5">
        <v>1.214</v>
      </c>
      <c r="F4798" s="5">
        <v>0.153</v>
      </c>
    </row>
    <row r="4799" spans="2:6" x14ac:dyDescent="0.2">
      <c r="B4799" s="9" t="s">
        <v>785</v>
      </c>
      <c r="C4799" s="15" t="s">
        <v>786</v>
      </c>
      <c r="D4799" s="12" t="str">
        <f>"1568-5888"</f>
        <v>1568-5888</v>
      </c>
      <c r="E4799" s="5">
        <v>2.38</v>
      </c>
      <c r="F4799" s="5">
        <v>0.376</v>
      </c>
    </row>
    <row r="4800" spans="2:6" x14ac:dyDescent="0.2">
      <c r="B4800" s="9" t="s">
        <v>6210</v>
      </c>
      <c r="C4800" s="15" t="s">
        <v>2426</v>
      </c>
      <c r="D4800" s="12" t="str">
        <f>"0300-2977"</f>
        <v>0300-2977</v>
      </c>
      <c r="E4800" s="5">
        <v>1.4219999999999999</v>
      </c>
      <c r="F4800" s="5">
        <v>0.311</v>
      </c>
    </row>
    <row r="4801" spans="2:6" x14ac:dyDescent="0.2">
      <c r="B4801" s="9" t="s">
        <v>6211</v>
      </c>
      <c r="C4801" s="15" t="s">
        <v>2427</v>
      </c>
      <c r="D4801" s="12" t="str">
        <f>"0954-898X"</f>
        <v>0954-898X</v>
      </c>
      <c r="E4801" s="5">
        <v>1.2729999999999999</v>
      </c>
      <c r="F4801" s="5">
        <v>0.187</v>
      </c>
    </row>
    <row r="4802" spans="2:6" x14ac:dyDescent="0.2">
      <c r="B4802" s="9" t="s">
        <v>11220</v>
      </c>
      <c r="C4802" s="15" t="s">
        <v>11220</v>
      </c>
      <c r="D4802" s="12" t="str">
        <f>"2472-1751"</f>
        <v>2472-1751</v>
      </c>
      <c r="E4802" s="5">
        <v>4.625</v>
      </c>
      <c r="F4802" s="5">
        <v>0.67800000000000005</v>
      </c>
    </row>
    <row r="4803" spans="2:6" x14ac:dyDescent="0.2">
      <c r="B4803" s="9" t="s">
        <v>11221</v>
      </c>
      <c r="C4803" s="15" t="s">
        <v>11222</v>
      </c>
      <c r="D4803" s="12" t="str">
        <f>"0899-7667"</f>
        <v>0899-7667</v>
      </c>
      <c r="E4803" s="5">
        <v>2.0259999999999998</v>
      </c>
      <c r="F4803" s="5">
        <v>0.374</v>
      </c>
    </row>
    <row r="4804" spans="2:6" x14ac:dyDescent="0.2">
      <c r="B4804" s="9" t="s">
        <v>787</v>
      </c>
      <c r="C4804" s="15" t="s">
        <v>788</v>
      </c>
      <c r="D4804" s="12" t="str">
        <f>"1749-8104"</f>
        <v>1749-8104</v>
      </c>
      <c r="E4804" s="5">
        <v>3.8420000000000001</v>
      </c>
      <c r="F4804" s="5">
        <v>0.70699999999999996</v>
      </c>
    </row>
    <row r="4805" spans="2:6" x14ac:dyDescent="0.2">
      <c r="B4805" s="9" t="s">
        <v>11223</v>
      </c>
      <c r="C4805" s="15" t="s">
        <v>11223</v>
      </c>
      <c r="D4805" s="12" t="str">
        <f>"0893-6080"</f>
        <v>0893-6080</v>
      </c>
      <c r="E4805" s="5">
        <v>8.0500000000000007</v>
      </c>
      <c r="F4805" s="5">
        <v>0.91200000000000003</v>
      </c>
    </row>
    <row r="4806" spans="2:6" x14ac:dyDescent="0.2">
      <c r="B4806" s="9" t="s">
        <v>789</v>
      </c>
      <c r="C4806" s="15" t="s">
        <v>790</v>
      </c>
      <c r="D4806" s="12" t="str">
        <f>"1210-0552"</f>
        <v>1210-0552</v>
      </c>
      <c r="E4806" s="5">
        <v>1.518</v>
      </c>
      <c r="F4806" s="5">
        <v>0.223</v>
      </c>
    </row>
    <row r="4807" spans="2:6" x14ac:dyDescent="0.2">
      <c r="B4807" s="9" t="s">
        <v>11224</v>
      </c>
      <c r="C4807" s="15" t="s">
        <v>11225</v>
      </c>
      <c r="D4807" s="12" t="str">
        <f>"2090-5904"</f>
        <v>2090-5904</v>
      </c>
      <c r="E4807" s="5">
        <v>3.5990000000000002</v>
      </c>
      <c r="F4807" s="5">
        <v>0.498</v>
      </c>
    </row>
    <row r="4808" spans="2:6" x14ac:dyDescent="0.2">
      <c r="B4808" s="9" t="s">
        <v>6212</v>
      </c>
      <c r="C4808" s="15" t="s">
        <v>2428</v>
      </c>
      <c r="D4808" s="12" t="str">
        <f>"1370-4621"</f>
        <v>1370-4621</v>
      </c>
      <c r="E4808" s="5">
        <v>2.9079999999999999</v>
      </c>
      <c r="F4808" s="5">
        <v>0.55400000000000005</v>
      </c>
    </row>
    <row r="4809" spans="2:6" x14ac:dyDescent="0.2">
      <c r="B4809" s="9" t="s">
        <v>11226</v>
      </c>
      <c r="C4809" s="15" t="s">
        <v>11227</v>
      </c>
      <c r="D4809" s="12" t="str">
        <f>"1876-7958"</f>
        <v>1876-7958</v>
      </c>
      <c r="E4809" s="5">
        <v>5.1349999999999998</v>
      </c>
      <c r="F4809" s="5">
        <v>0.72199999999999998</v>
      </c>
    </row>
    <row r="4810" spans="2:6" x14ac:dyDescent="0.2">
      <c r="B4810" s="9" t="s">
        <v>6213</v>
      </c>
      <c r="C4810" s="15" t="s">
        <v>2429</v>
      </c>
      <c r="D4810" s="12" t="str">
        <f>"0197-4580"</f>
        <v>0197-4580</v>
      </c>
      <c r="E4810" s="5">
        <v>4.673</v>
      </c>
      <c r="F4810" s="5">
        <v>0.755</v>
      </c>
    </row>
    <row r="4811" spans="2:6" x14ac:dyDescent="0.2">
      <c r="B4811" s="9" t="s">
        <v>6214</v>
      </c>
      <c r="C4811" s="15" t="s">
        <v>2430</v>
      </c>
      <c r="D4811" s="12" t="str">
        <f>"0969-9961"</f>
        <v>0969-9961</v>
      </c>
      <c r="E4811" s="5">
        <v>5.9960000000000004</v>
      </c>
      <c r="F4811" s="5">
        <v>0.81</v>
      </c>
    </row>
    <row r="4812" spans="2:6" x14ac:dyDescent="0.2">
      <c r="B4812" s="9" t="s">
        <v>6215</v>
      </c>
      <c r="C4812" s="15" t="s">
        <v>2431</v>
      </c>
      <c r="D4812" s="12" t="str">
        <f>"1074-7427"</f>
        <v>1074-7427</v>
      </c>
      <c r="E4812" s="5">
        <v>2.8769999999999998</v>
      </c>
      <c r="F4812" s="5">
        <v>0.65500000000000003</v>
      </c>
    </row>
    <row r="4813" spans="2:6" x14ac:dyDescent="0.2">
      <c r="B4813" s="9" t="s">
        <v>11228</v>
      </c>
      <c r="C4813" s="15" t="s">
        <v>11229</v>
      </c>
      <c r="D4813" s="12" t="str">
        <f>"2352-2895"</f>
        <v>2352-2895</v>
      </c>
      <c r="E4813" s="5">
        <v>5.4409999999999998</v>
      </c>
      <c r="F4813" s="5">
        <v>0.77300000000000002</v>
      </c>
    </row>
    <row r="4814" spans="2:6" x14ac:dyDescent="0.2">
      <c r="B4814" s="9" t="s">
        <v>6216</v>
      </c>
      <c r="C4814" s="15" t="s">
        <v>6216</v>
      </c>
      <c r="D4814" s="12" t="str">
        <f>"1355-4794"</f>
        <v>1355-4794</v>
      </c>
      <c r="E4814" s="5">
        <v>0.88100000000000001</v>
      </c>
      <c r="F4814" s="5">
        <v>0.11700000000000001</v>
      </c>
    </row>
    <row r="4815" spans="2:6" x14ac:dyDescent="0.2">
      <c r="B4815" s="9" t="s">
        <v>6217</v>
      </c>
      <c r="C4815" s="15" t="s">
        <v>2432</v>
      </c>
      <c r="D4815" s="12" t="str">
        <f>"0197-0186"</f>
        <v>0197-0186</v>
      </c>
      <c r="E4815" s="5">
        <v>3.9209999999999998</v>
      </c>
      <c r="F4815" s="5">
        <v>0.55700000000000005</v>
      </c>
    </row>
    <row r="4816" spans="2:6" x14ac:dyDescent="0.2">
      <c r="B4816" s="9" t="s">
        <v>791</v>
      </c>
      <c r="C4816" s="15" t="s">
        <v>792</v>
      </c>
      <c r="D4816" s="12" t="str">
        <f>"1819-7124"</f>
        <v>1819-7124</v>
      </c>
      <c r="E4816" s="5">
        <v>0.48</v>
      </c>
      <c r="F4816" s="5">
        <v>2.1999999999999999E-2</v>
      </c>
    </row>
    <row r="4817" spans="2:6" x14ac:dyDescent="0.2">
      <c r="B4817" s="9" t="s">
        <v>6218</v>
      </c>
      <c r="C4817" s="15" t="s">
        <v>2433</v>
      </c>
      <c r="D4817" s="12" t="str">
        <f>"0364-3190"</f>
        <v>0364-3190</v>
      </c>
      <c r="E4817" s="5">
        <v>3.996</v>
      </c>
      <c r="F4817" s="5">
        <v>0.57099999999999995</v>
      </c>
    </row>
    <row r="4818" spans="2:6" x14ac:dyDescent="0.2">
      <c r="B4818" s="9" t="s">
        <v>6219</v>
      </c>
      <c r="C4818" s="15" t="s">
        <v>6219</v>
      </c>
      <c r="D4818" s="12" t="str">
        <f>"0028-3770"</f>
        <v>0028-3770</v>
      </c>
      <c r="E4818" s="5">
        <v>1.5529999999999999</v>
      </c>
      <c r="F4818" s="5">
        <v>0.23300000000000001</v>
      </c>
    </row>
    <row r="4819" spans="2:6" x14ac:dyDescent="0.2">
      <c r="B4819" s="9" t="s">
        <v>6220</v>
      </c>
      <c r="C4819" s="15" t="s">
        <v>6220</v>
      </c>
      <c r="D4819" s="12" t="str">
        <f>"1130-1473"</f>
        <v>1130-1473</v>
      </c>
      <c r="E4819" s="5">
        <v>0.55300000000000005</v>
      </c>
      <c r="F4819" s="5">
        <v>2.9000000000000001E-2</v>
      </c>
    </row>
    <row r="4820" spans="2:6" x14ac:dyDescent="0.2">
      <c r="B4820" s="9" t="s">
        <v>6221</v>
      </c>
      <c r="C4820" s="15" t="s">
        <v>2434</v>
      </c>
      <c r="D4820" s="12" t="str">
        <f>"1541-6933"</f>
        <v>1541-6933</v>
      </c>
      <c r="E4820" s="5">
        <v>3.21</v>
      </c>
      <c r="F4820" s="5">
        <v>0.49</v>
      </c>
    </row>
    <row r="4821" spans="2:6" x14ac:dyDescent="0.2">
      <c r="B4821" s="9" t="s">
        <v>793</v>
      </c>
      <c r="C4821" s="15" t="s">
        <v>794</v>
      </c>
      <c r="D4821" s="12" t="str">
        <f>"1660-2854"</f>
        <v>1660-2854</v>
      </c>
      <c r="E4821" s="5">
        <v>2.9769999999999999</v>
      </c>
      <c r="F4821" s="5">
        <v>0.41299999999999998</v>
      </c>
    </row>
    <row r="4822" spans="2:6" x14ac:dyDescent="0.2">
      <c r="B4822" s="9" t="s">
        <v>6222</v>
      </c>
      <c r="C4822" s="15" t="s">
        <v>2435</v>
      </c>
      <c r="D4822" s="12" t="str">
        <f>"0172-780X"</f>
        <v>0172-780X</v>
      </c>
      <c r="E4822" s="5">
        <v>0.76500000000000001</v>
      </c>
      <c r="F4822" s="5">
        <v>4.8000000000000001E-2</v>
      </c>
    </row>
    <row r="4823" spans="2:6" x14ac:dyDescent="0.2">
      <c r="B4823" s="9" t="s">
        <v>6223</v>
      </c>
      <c r="C4823" s="15" t="s">
        <v>6223</v>
      </c>
      <c r="D4823" s="12" t="str">
        <f>"0028-3835"</f>
        <v>0028-3835</v>
      </c>
      <c r="E4823" s="5">
        <v>4.9139999999999997</v>
      </c>
      <c r="F4823" s="5">
        <v>0.71699999999999997</v>
      </c>
    </row>
    <row r="4824" spans="2:6" x14ac:dyDescent="0.2">
      <c r="B4824" s="9" t="s">
        <v>6224</v>
      </c>
      <c r="C4824" s="15" t="s">
        <v>6224</v>
      </c>
      <c r="D4824" s="12" t="str">
        <f>"0251-5350"</f>
        <v>0251-5350</v>
      </c>
      <c r="E4824" s="5">
        <v>3.282</v>
      </c>
      <c r="F4824" s="5">
        <v>0.70599999999999996</v>
      </c>
    </row>
    <row r="4825" spans="2:6" x14ac:dyDescent="0.2">
      <c r="B4825" s="9" t="s">
        <v>11230</v>
      </c>
      <c r="C4825" s="15" t="s">
        <v>11231</v>
      </c>
      <c r="D4825" s="12" t="str">
        <f>"1874-5490"</f>
        <v>1874-5490</v>
      </c>
      <c r="E4825" s="5">
        <v>1.48</v>
      </c>
      <c r="F4825" s="5">
        <v>0.46400000000000002</v>
      </c>
    </row>
    <row r="4826" spans="2:6" x14ac:dyDescent="0.2">
      <c r="B4826" s="9" t="s">
        <v>6225</v>
      </c>
      <c r="C4826" s="15" t="s">
        <v>2436</v>
      </c>
      <c r="D4826" s="12" t="str">
        <f>"1350-1925"</f>
        <v>1350-1925</v>
      </c>
      <c r="E4826" s="5">
        <v>3.5979999999999999</v>
      </c>
      <c r="F4826" s="5">
        <v>0.58699999999999997</v>
      </c>
    </row>
    <row r="4827" spans="2:6" x14ac:dyDescent="0.2">
      <c r="B4827" s="9" t="s">
        <v>6226</v>
      </c>
      <c r="C4827" s="15" t="s">
        <v>6226</v>
      </c>
      <c r="D4827" s="12" t="str">
        <f>"1364-6745"</f>
        <v>1364-6745</v>
      </c>
      <c r="E4827" s="5">
        <v>2.66</v>
      </c>
      <c r="F4827" s="5">
        <v>0.377</v>
      </c>
    </row>
    <row r="4828" spans="2:6" x14ac:dyDescent="0.2">
      <c r="B4828" s="9" t="s">
        <v>6227</v>
      </c>
      <c r="C4828" s="15" t="s">
        <v>2437</v>
      </c>
      <c r="D4828" s="12" t="str">
        <f>"1052-5149"</f>
        <v>1052-5149</v>
      </c>
      <c r="E4828" s="5">
        <v>2.2639999999999998</v>
      </c>
      <c r="F4828" s="5">
        <v>0.308</v>
      </c>
    </row>
    <row r="4829" spans="2:6" x14ac:dyDescent="0.2">
      <c r="B4829" s="9" t="s">
        <v>11232</v>
      </c>
      <c r="C4829" s="15" t="s">
        <v>11233</v>
      </c>
      <c r="D4829" s="12" t="str">
        <f>"2213-1582"</f>
        <v>2213-1582</v>
      </c>
      <c r="E4829" s="5">
        <v>4.8810000000000002</v>
      </c>
      <c r="F4829" s="5">
        <v>0.84599999999999997</v>
      </c>
    </row>
    <row r="4830" spans="2:6" x14ac:dyDescent="0.2">
      <c r="B4830" s="9" t="s">
        <v>6228</v>
      </c>
      <c r="C4830" s="15" t="s">
        <v>2438</v>
      </c>
      <c r="D4830" s="12" t="str">
        <f>"1021-7401"</f>
        <v>1021-7401</v>
      </c>
      <c r="E4830" s="5">
        <v>2.492</v>
      </c>
      <c r="F4830" s="5">
        <v>0.26400000000000001</v>
      </c>
    </row>
    <row r="4831" spans="2:6" x14ac:dyDescent="0.2">
      <c r="B4831" s="9" t="s">
        <v>6229</v>
      </c>
      <c r="C4831" s="15" t="s">
        <v>6229</v>
      </c>
      <c r="D4831" s="12" t="str">
        <f>"1539-2791"</f>
        <v>1539-2791</v>
      </c>
      <c r="E4831" s="5">
        <v>4.085</v>
      </c>
      <c r="F4831" s="5">
        <v>0.66700000000000004</v>
      </c>
    </row>
    <row r="4832" spans="2:6" x14ac:dyDescent="0.2">
      <c r="B4832" s="9" t="s">
        <v>11234</v>
      </c>
      <c r="C4832" s="15" t="s">
        <v>11235</v>
      </c>
      <c r="D4832" s="12" t="str">
        <f>"1823-6138"</f>
        <v>1823-6138</v>
      </c>
      <c r="E4832" s="5">
        <v>0.183</v>
      </c>
      <c r="F4832" s="5">
        <v>5.0000000000000001E-3</v>
      </c>
    </row>
    <row r="4833" spans="2:6" x14ac:dyDescent="0.2">
      <c r="B4833" s="9" t="s">
        <v>6230</v>
      </c>
      <c r="C4833" s="15" t="s">
        <v>2439</v>
      </c>
      <c r="D4833" s="12" t="str">
        <f>"0733-8619"</f>
        <v>0733-8619</v>
      </c>
      <c r="E4833" s="5">
        <v>3.806</v>
      </c>
      <c r="F4833" s="5">
        <v>0.63</v>
      </c>
    </row>
    <row r="4834" spans="2:6" x14ac:dyDescent="0.2">
      <c r="B4834" s="9" t="s">
        <v>11236</v>
      </c>
      <c r="C4834" s="15" t="s">
        <v>11237</v>
      </c>
      <c r="D4834" s="12" t="str">
        <f>"2376-7839"</f>
        <v>2376-7839</v>
      </c>
      <c r="E4834" s="5">
        <v>3.4849999999999999</v>
      </c>
      <c r="F4834" s="5">
        <v>0.55400000000000005</v>
      </c>
    </row>
    <row r="4835" spans="2:6" x14ac:dyDescent="0.2">
      <c r="B4835" s="9" t="s">
        <v>6231</v>
      </c>
      <c r="C4835" s="15" t="s">
        <v>2440</v>
      </c>
      <c r="D4835" s="12" t="str">
        <f>"0028-3886"</f>
        <v>0028-3886</v>
      </c>
      <c r="E4835" s="5">
        <v>2.117</v>
      </c>
      <c r="F4835" s="5">
        <v>0.17599999999999999</v>
      </c>
    </row>
    <row r="4836" spans="2:6" x14ac:dyDescent="0.2">
      <c r="B4836" s="9" t="s">
        <v>6232</v>
      </c>
      <c r="C4836" s="15" t="s">
        <v>2441</v>
      </c>
      <c r="D4836" s="12" t="str">
        <f>"0470-8105"</f>
        <v>0470-8105</v>
      </c>
      <c r="E4836" s="5">
        <v>1.742</v>
      </c>
      <c r="F4836" s="5">
        <v>0.27100000000000002</v>
      </c>
    </row>
    <row r="4837" spans="2:6" x14ac:dyDescent="0.2">
      <c r="B4837" s="9" t="s">
        <v>795</v>
      </c>
      <c r="C4837" s="15" t="s">
        <v>796</v>
      </c>
      <c r="D4837" s="12" t="str">
        <f>"0028-3843"</f>
        <v>0028-3843</v>
      </c>
      <c r="E4837" s="5">
        <v>1.621</v>
      </c>
      <c r="F4837" s="5">
        <v>0.13</v>
      </c>
    </row>
    <row r="4838" spans="2:6" x14ac:dyDescent="0.2">
      <c r="B4838" s="9" t="s">
        <v>11238</v>
      </c>
      <c r="C4838" s="15" t="s">
        <v>11239</v>
      </c>
      <c r="D4838" s="12" t="str">
        <f>"2332-7812"</f>
        <v>2332-7812</v>
      </c>
      <c r="E4838" s="5">
        <v>8.4849999999999994</v>
      </c>
      <c r="F4838" s="5">
        <v>0.93799999999999994</v>
      </c>
    </row>
    <row r="4839" spans="2:6" x14ac:dyDescent="0.2">
      <c r="B4839" s="9" t="s">
        <v>6235</v>
      </c>
      <c r="C4839" s="15" t="s">
        <v>6235</v>
      </c>
      <c r="D4839" s="12" t="str">
        <f>"0213-4853"</f>
        <v>0213-4853</v>
      </c>
      <c r="E4839" s="5">
        <v>3.109</v>
      </c>
      <c r="F4839" s="5">
        <v>0.45200000000000001</v>
      </c>
    </row>
    <row r="4840" spans="2:6" x14ac:dyDescent="0.2">
      <c r="B4840" s="9" t="s">
        <v>6236</v>
      </c>
      <c r="C4840" s="15" t="s">
        <v>6236</v>
      </c>
      <c r="D4840" s="12" t="str">
        <f>"1074-7931"</f>
        <v>1074-7931</v>
      </c>
      <c r="E4840" s="5">
        <v>1.3979999999999999</v>
      </c>
      <c r="F4840" s="5">
        <v>9.0999999999999998E-2</v>
      </c>
    </row>
    <row r="4841" spans="2:6" x14ac:dyDescent="0.2">
      <c r="B4841" s="9" t="s">
        <v>6237</v>
      </c>
      <c r="C4841" s="15" t="s">
        <v>6237</v>
      </c>
      <c r="D4841" s="12" t="str">
        <f>"0028-3878"</f>
        <v>0028-3878</v>
      </c>
      <c r="E4841" s="5">
        <v>9.91</v>
      </c>
      <c r="F4841" s="5">
        <v>0.94699999999999995</v>
      </c>
    </row>
    <row r="4842" spans="2:6" x14ac:dyDescent="0.2">
      <c r="B4842" s="9" t="s">
        <v>11240</v>
      </c>
      <c r="C4842" s="15" t="s">
        <v>11240</v>
      </c>
      <c r="D4842" s="12" t="str">
        <f>"2193-8253"</f>
        <v>2193-8253</v>
      </c>
      <c r="E4842" s="5">
        <v>5.8140000000000001</v>
      </c>
      <c r="F4842" s="5">
        <v>0.83699999999999997</v>
      </c>
    </row>
    <row r="4843" spans="2:6" x14ac:dyDescent="0.2">
      <c r="B4843" s="9" t="s">
        <v>6233</v>
      </c>
      <c r="C4843" s="15" t="s">
        <v>2442</v>
      </c>
      <c r="D4843" s="12" t="str">
        <f>"0161-6412"</f>
        <v>0161-6412</v>
      </c>
      <c r="E4843" s="5">
        <v>2.448</v>
      </c>
      <c r="F4843" s="5">
        <v>0.29299999999999998</v>
      </c>
    </row>
    <row r="4844" spans="2:6" x14ac:dyDescent="0.2">
      <c r="B4844" s="9" t="s">
        <v>6234</v>
      </c>
      <c r="C4844" s="15" t="s">
        <v>2443</v>
      </c>
      <c r="D4844" s="12" t="str">
        <f>"1590-1874"</f>
        <v>1590-1874</v>
      </c>
      <c r="E4844" s="5">
        <v>3.3069999999999999</v>
      </c>
      <c r="F4844" s="5">
        <v>0.51</v>
      </c>
    </row>
    <row r="4845" spans="2:6" x14ac:dyDescent="0.2">
      <c r="B4845" s="9" t="s">
        <v>11241</v>
      </c>
      <c r="C4845" s="15" t="s">
        <v>11242</v>
      </c>
      <c r="D4845" s="12" t="str">
        <f>"2636-865X"</f>
        <v>2636-865X</v>
      </c>
      <c r="E4845" s="5">
        <v>0.35799999999999998</v>
      </c>
      <c r="F4845" s="5">
        <v>1.0999999999999999E-2</v>
      </c>
    </row>
    <row r="4846" spans="2:6" x14ac:dyDescent="0.2">
      <c r="B4846" s="9" t="s">
        <v>6238</v>
      </c>
      <c r="C4846" s="15" t="s">
        <v>6238</v>
      </c>
      <c r="D4846" s="12" t="str">
        <f>"1525-1403"</f>
        <v>1525-1403</v>
      </c>
      <c r="E4846" s="5">
        <v>4.7220000000000004</v>
      </c>
      <c r="F4846" s="5">
        <v>0.745</v>
      </c>
    </row>
    <row r="4847" spans="2:6" x14ac:dyDescent="0.2">
      <c r="B4847" s="9" t="s">
        <v>6239</v>
      </c>
      <c r="C4847" s="15" t="s">
        <v>2444</v>
      </c>
      <c r="D4847" s="12" t="str">
        <f>"1535-1084"</f>
        <v>1535-1084</v>
      </c>
      <c r="E4847" s="5">
        <v>3.843</v>
      </c>
      <c r="F4847" s="5">
        <v>0.53800000000000003</v>
      </c>
    </row>
    <row r="4848" spans="2:6" x14ac:dyDescent="0.2">
      <c r="B4848" s="9" t="s">
        <v>6240</v>
      </c>
      <c r="C4848" s="15" t="s">
        <v>2445</v>
      </c>
      <c r="D4848" s="12" t="str">
        <f>"0960-8966"</f>
        <v>0960-8966</v>
      </c>
      <c r="E4848" s="5">
        <v>4.2960000000000003</v>
      </c>
      <c r="F4848" s="5">
        <v>0.70199999999999996</v>
      </c>
    </row>
    <row r="4849" spans="2:6" x14ac:dyDescent="0.2">
      <c r="B4849" s="9" t="s">
        <v>6241</v>
      </c>
      <c r="C4849" s="15" t="s">
        <v>6241</v>
      </c>
      <c r="D4849" s="12" t="str">
        <f>"0896-6273"</f>
        <v>0896-6273</v>
      </c>
      <c r="E4849" s="5">
        <v>17.172999999999998</v>
      </c>
      <c r="F4849" s="5">
        <v>0.98899999999999999</v>
      </c>
    </row>
    <row r="4850" spans="2:6" x14ac:dyDescent="0.2">
      <c r="B4850" s="9" t="s">
        <v>6242</v>
      </c>
      <c r="C4850" s="15" t="s">
        <v>6242</v>
      </c>
      <c r="D4850" s="12" t="str">
        <f>"1523-5866"</f>
        <v>1523-5866</v>
      </c>
      <c r="E4850" s="5">
        <v>12.3</v>
      </c>
      <c r="F4850" s="5">
        <v>0.97099999999999997</v>
      </c>
    </row>
    <row r="4851" spans="2:6" x14ac:dyDescent="0.2">
      <c r="B4851" s="9" t="s">
        <v>6243</v>
      </c>
      <c r="C4851" s="15" t="s">
        <v>2446</v>
      </c>
      <c r="D4851" s="12" t="str">
        <f>"0305-1846"</f>
        <v>0305-1846</v>
      </c>
      <c r="E4851" s="5">
        <v>8.09</v>
      </c>
      <c r="F4851" s="5">
        <v>0.96099999999999997</v>
      </c>
    </row>
    <row r="4852" spans="2:6" x14ac:dyDescent="0.2">
      <c r="B4852" s="9" t="s">
        <v>6244</v>
      </c>
      <c r="C4852" s="15" t="s">
        <v>6244</v>
      </c>
      <c r="D4852" s="12" t="str">
        <f>"0919-6544"</f>
        <v>0919-6544</v>
      </c>
      <c r="E4852" s="5">
        <v>1.9059999999999999</v>
      </c>
      <c r="F4852" s="5">
        <v>0.27300000000000002</v>
      </c>
    </row>
    <row r="4853" spans="2:6" x14ac:dyDescent="0.2">
      <c r="B4853" s="9" t="s">
        <v>6245</v>
      </c>
      <c r="C4853" s="15" t="s">
        <v>6245</v>
      </c>
      <c r="D4853" s="12" t="str">
        <f>"0174-304X"</f>
        <v>0174-304X</v>
      </c>
      <c r="E4853" s="5">
        <v>1.9470000000000001</v>
      </c>
      <c r="F4853" s="5">
        <v>0.38</v>
      </c>
    </row>
    <row r="4854" spans="2:6" x14ac:dyDescent="0.2">
      <c r="B4854" s="9" t="s">
        <v>6246</v>
      </c>
      <c r="C4854" s="15" t="s">
        <v>6246</v>
      </c>
      <c r="D4854" s="12" t="str">
        <f>"0143-4179"</f>
        <v>0143-4179</v>
      </c>
      <c r="E4854" s="5">
        <v>3.286</v>
      </c>
      <c r="F4854" s="5">
        <v>0.39600000000000002</v>
      </c>
    </row>
    <row r="4855" spans="2:6" x14ac:dyDescent="0.2">
      <c r="B4855" s="9" t="s">
        <v>6247</v>
      </c>
      <c r="C4855" s="15" t="s">
        <v>6247</v>
      </c>
      <c r="D4855" s="12" t="str">
        <f>"0028-3908"</f>
        <v>0028-3908</v>
      </c>
      <c r="E4855" s="5">
        <v>5.25</v>
      </c>
      <c r="F4855" s="5">
        <v>0.80700000000000005</v>
      </c>
    </row>
    <row r="4856" spans="2:6" x14ac:dyDescent="0.2">
      <c r="B4856" s="9" t="s">
        <v>11243</v>
      </c>
      <c r="C4856" s="15" t="s">
        <v>11244</v>
      </c>
      <c r="D4856" s="12" t="str">
        <f>"2329-423X"</f>
        <v>2329-423X</v>
      </c>
      <c r="E4856" s="5">
        <v>3.593</v>
      </c>
      <c r="F4856" s="5">
        <v>0.75800000000000001</v>
      </c>
    </row>
    <row r="4857" spans="2:6" x14ac:dyDescent="0.2">
      <c r="B4857" s="9" t="s">
        <v>6248</v>
      </c>
      <c r="C4857" s="15" t="s">
        <v>2447</v>
      </c>
      <c r="D4857" s="12" t="str">
        <f>"0987-7053"</f>
        <v>0987-7053</v>
      </c>
      <c r="E4857" s="5">
        <v>3.734</v>
      </c>
      <c r="F4857" s="5">
        <v>0.70399999999999996</v>
      </c>
    </row>
    <row r="4858" spans="2:6" x14ac:dyDescent="0.2">
      <c r="B4858" s="9" t="s">
        <v>11245</v>
      </c>
      <c r="C4858" s="15" t="s">
        <v>11246</v>
      </c>
      <c r="D4858" s="12" t="str">
        <f>"0090-2977"</f>
        <v>0090-2977</v>
      </c>
      <c r="E4858" s="5">
        <v>0.58699999999999997</v>
      </c>
      <c r="F4858" s="5">
        <v>4.9000000000000002E-2</v>
      </c>
    </row>
    <row r="4859" spans="2:6" x14ac:dyDescent="0.2">
      <c r="B4859" s="9" t="s">
        <v>11247</v>
      </c>
      <c r="C4859" s="15" t="s">
        <v>11248</v>
      </c>
      <c r="D4859" s="12" t="str">
        <f>"1178-2021"</f>
        <v>1178-2021</v>
      </c>
      <c r="E4859" s="5">
        <v>2.57</v>
      </c>
      <c r="F4859" s="5">
        <v>0.40300000000000002</v>
      </c>
    </row>
    <row r="4860" spans="2:6" x14ac:dyDescent="0.2">
      <c r="B4860" s="9" t="s">
        <v>6249</v>
      </c>
      <c r="C4860" s="15" t="s">
        <v>6249</v>
      </c>
      <c r="D4860" s="12" t="str">
        <f>"0302-282X"</f>
        <v>0302-282X</v>
      </c>
      <c r="E4860" s="5">
        <v>2.3279999999999998</v>
      </c>
      <c r="F4860" s="5">
        <v>0.40300000000000002</v>
      </c>
    </row>
    <row r="4861" spans="2:6" x14ac:dyDescent="0.2">
      <c r="B4861" s="9" t="s">
        <v>6252</v>
      </c>
      <c r="C4861" s="15" t="s">
        <v>6252</v>
      </c>
      <c r="D4861" s="12" t="str">
        <f>"0028-3932"</f>
        <v>0028-3932</v>
      </c>
      <c r="E4861" s="5">
        <v>3.1389999999999998</v>
      </c>
      <c r="F4861" s="5">
        <v>0.66700000000000004</v>
      </c>
    </row>
    <row r="4862" spans="2:6" x14ac:dyDescent="0.2">
      <c r="B4862" s="9" t="s">
        <v>6253</v>
      </c>
      <c r="C4862" s="15" t="s">
        <v>6253</v>
      </c>
      <c r="D4862" s="12" t="str">
        <f>"0894-4105"</f>
        <v>0894-4105</v>
      </c>
      <c r="E4862" s="5">
        <v>3.2949999999999999</v>
      </c>
      <c r="F4862" s="5">
        <v>0.70099999999999996</v>
      </c>
    </row>
    <row r="4863" spans="2:6" x14ac:dyDescent="0.2">
      <c r="B4863" s="9" t="s">
        <v>6250</v>
      </c>
      <c r="C4863" s="15" t="s">
        <v>2448</v>
      </c>
      <c r="D4863" s="12" t="str">
        <f>"0960-2011"</f>
        <v>0960-2011</v>
      </c>
      <c r="E4863" s="5">
        <v>2.8679999999999999</v>
      </c>
      <c r="F4863" s="5">
        <v>0.54500000000000004</v>
      </c>
    </row>
    <row r="4864" spans="2:6" x14ac:dyDescent="0.2">
      <c r="B4864" s="9" t="s">
        <v>6251</v>
      </c>
      <c r="C4864" s="15" t="s">
        <v>2449</v>
      </c>
      <c r="D4864" s="12" t="str">
        <f>"1040-7308"</f>
        <v>1040-7308</v>
      </c>
      <c r="E4864" s="5">
        <v>7.444</v>
      </c>
      <c r="F4864" s="5">
        <v>0.97699999999999998</v>
      </c>
    </row>
    <row r="4865" spans="2:6" x14ac:dyDescent="0.2">
      <c r="B4865" s="9" t="s">
        <v>6254</v>
      </c>
      <c r="C4865" s="15" t="s">
        <v>2450</v>
      </c>
      <c r="D4865" s="12" t="str">
        <f>"0893-133X"</f>
        <v>0893-133X</v>
      </c>
      <c r="E4865" s="5">
        <v>7.8529999999999998</v>
      </c>
      <c r="F4865" s="5">
        <v>0.95299999999999996</v>
      </c>
    </row>
    <row r="4866" spans="2:6" x14ac:dyDescent="0.2">
      <c r="B4866" s="9" t="s">
        <v>6255</v>
      </c>
      <c r="C4866" s="15" t="s">
        <v>6255</v>
      </c>
      <c r="D4866" s="12" t="str">
        <f>"0028-3940"</f>
        <v>0028-3940</v>
      </c>
      <c r="E4866" s="5">
        <v>2.8039999999999998</v>
      </c>
      <c r="F4866" s="5">
        <v>0.53800000000000003</v>
      </c>
    </row>
    <row r="4867" spans="2:6" x14ac:dyDescent="0.2">
      <c r="B4867" s="9" t="s">
        <v>797</v>
      </c>
      <c r="C4867" s="15" t="s">
        <v>797</v>
      </c>
      <c r="D4867" s="12" t="str">
        <f>"1053-8135"</f>
        <v>1053-8135</v>
      </c>
      <c r="E4867" s="5">
        <v>2.1379999999999999</v>
      </c>
      <c r="F4867" s="5">
        <v>0.48699999999999999</v>
      </c>
    </row>
    <row r="4868" spans="2:6" x14ac:dyDescent="0.2">
      <c r="B4868" s="9" t="s">
        <v>6256</v>
      </c>
      <c r="C4868" s="15" t="s">
        <v>2451</v>
      </c>
      <c r="D4868" s="12" t="str">
        <f>"1545-9683"</f>
        <v>1545-9683</v>
      </c>
      <c r="E4868" s="5">
        <v>3.919</v>
      </c>
      <c r="F4868" s="5">
        <v>0.95</v>
      </c>
    </row>
    <row r="4869" spans="2:6" x14ac:dyDescent="0.2">
      <c r="B4869" s="9" t="s">
        <v>6257</v>
      </c>
      <c r="C4869" s="15" t="s">
        <v>6257</v>
      </c>
      <c r="D4869" s="12" t="str">
        <f>"0959-4965"</f>
        <v>0959-4965</v>
      </c>
      <c r="E4869" s="5">
        <v>1.837</v>
      </c>
      <c r="F4869" s="5">
        <v>0.11700000000000001</v>
      </c>
    </row>
    <row r="4870" spans="2:6" x14ac:dyDescent="0.2">
      <c r="B4870" s="9" t="s">
        <v>6258</v>
      </c>
      <c r="C4870" s="15" t="s">
        <v>2452</v>
      </c>
      <c r="D4870" s="12" t="str">
        <f>"0149-7634"</f>
        <v>0149-7634</v>
      </c>
      <c r="E4870" s="5">
        <v>8.9890000000000008</v>
      </c>
      <c r="F4870" s="5">
        <v>0.96199999999999997</v>
      </c>
    </row>
    <row r="4871" spans="2:6" x14ac:dyDescent="0.2">
      <c r="B4871" s="9" t="s">
        <v>11249</v>
      </c>
      <c r="C4871" s="15" t="s">
        <v>11250</v>
      </c>
      <c r="D4871" s="12" t="str">
        <f>"1673-7067"</f>
        <v>1673-7067</v>
      </c>
      <c r="E4871" s="5">
        <v>5.2030000000000003</v>
      </c>
      <c r="F4871" s="5">
        <v>0.73599999999999999</v>
      </c>
    </row>
    <row r="4872" spans="2:6" x14ac:dyDescent="0.2">
      <c r="B4872" s="9" t="s">
        <v>6261</v>
      </c>
      <c r="C4872" s="15" t="s">
        <v>6261</v>
      </c>
      <c r="D4872" s="12" t="str">
        <f>"0306-4522"</f>
        <v>0306-4522</v>
      </c>
      <c r="E4872" s="5">
        <v>3.59</v>
      </c>
      <c r="F4872" s="5">
        <v>0.48699999999999999</v>
      </c>
    </row>
    <row r="4873" spans="2:6" x14ac:dyDescent="0.2">
      <c r="B4873" s="9" t="s">
        <v>798</v>
      </c>
      <c r="C4873" s="15" t="s">
        <v>799</v>
      </c>
      <c r="D4873" s="12" t="str">
        <f>"1319-6138"</f>
        <v>1319-6138</v>
      </c>
      <c r="E4873" s="5">
        <v>0.90600000000000003</v>
      </c>
      <c r="F4873" s="5">
        <v>3.7999999999999999E-2</v>
      </c>
    </row>
    <row r="4874" spans="2:6" x14ac:dyDescent="0.2">
      <c r="B4874" s="9" t="s">
        <v>6262</v>
      </c>
      <c r="C4874" s="15" t="s">
        <v>6262</v>
      </c>
      <c r="D4874" s="12" t="str">
        <f>"1073-8584"</f>
        <v>1073-8584</v>
      </c>
      <c r="E4874" s="5">
        <v>7.5190000000000001</v>
      </c>
      <c r="F4874" s="5">
        <v>0.91800000000000004</v>
      </c>
    </row>
    <row r="4875" spans="2:6" x14ac:dyDescent="0.2">
      <c r="B4875" s="9" t="s">
        <v>6259</v>
      </c>
      <c r="C4875" s="15" t="s">
        <v>2453</v>
      </c>
      <c r="D4875" s="12" t="str">
        <f>"0304-3940"</f>
        <v>0304-3940</v>
      </c>
      <c r="E4875" s="5">
        <v>3.0459999999999998</v>
      </c>
      <c r="F4875" s="5">
        <v>0.32200000000000001</v>
      </c>
    </row>
    <row r="4876" spans="2:6" x14ac:dyDescent="0.2">
      <c r="B4876" s="9" t="s">
        <v>6260</v>
      </c>
      <c r="C4876" s="15" t="s">
        <v>2454</v>
      </c>
      <c r="D4876" s="12" t="str">
        <f>"0168-0102"</f>
        <v>0168-0102</v>
      </c>
      <c r="E4876" s="5">
        <v>3.3039999999999998</v>
      </c>
      <c r="F4876" s="5">
        <v>0.41</v>
      </c>
    </row>
    <row r="4877" spans="2:6" x14ac:dyDescent="0.2">
      <c r="B4877" s="9" t="s">
        <v>11251</v>
      </c>
      <c r="C4877" s="15" t="s">
        <v>11252</v>
      </c>
      <c r="D4877" s="12" t="str">
        <f>"2586-6583"</f>
        <v>2586-6583</v>
      </c>
      <c r="E4877" s="5">
        <v>3.492</v>
      </c>
      <c r="F4877" s="5">
        <v>0.73299999999999998</v>
      </c>
    </row>
    <row r="4878" spans="2:6" x14ac:dyDescent="0.2">
      <c r="B4878" s="9" t="s">
        <v>6263</v>
      </c>
      <c r="C4878" s="15" t="s">
        <v>2455</v>
      </c>
      <c r="D4878" s="12" t="str">
        <f>"1042-3680"</f>
        <v>1042-3680</v>
      </c>
      <c r="E4878" s="5">
        <v>2.5089999999999999</v>
      </c>
      <c r="F4878" s="5">
        <v>0.51</v>
      </c>
    </row>
    <row r="4879" spans="2:6" x14ac:dyDescent="0.2">
      <c r="B4879" s="9" t="s">
        <v>6265</v>
      </c>
      <c r="C4879" s="15" t="s">
        <v>6265</v>
      </c>
      <c r="D4879" s="12" t="str">
        <f>"0148-396X"</f>
        <v>0148-396X</v>
      </c>
      <c r="E4879" s="5">
        <v>4.6539999999999999</v>
      </c>
      <c r="F4879" s="5">
        <v>0.86199999999999999</v>
      </c>
    </row>
    <row r="4880" spans="2:6" x14ac:dyDescent="0.2">
      <c r="B4880" s="9" t="s">
        <v>11253</v>
      </c>
      <c r="C4880" s="15" t="s">
        <v>11254</v>
      </c>
      <c r="D4880" s="12" t="str">
        <f>"1092-0684"</f>
        <v>1092-0684</v>
      </c>
      <c r="E4880" s="5">
        <v>4.0469999999999997</v>
      </c>
      <c r="F4880" s="5">
        <v>0.8</v>
      </c>
    </row>
    <row r="4881" spans="2:6" x14ac:dyDescent="0.2">
      <c r="B4881" s="9" t="s">
        <v>6264</v>
      </c>
      <c r="C4881" s="15" t="s">
        <v>2456</v>
      </c>
      <c r="D4881" s="12" t="str">
        <f>"0344-5607"</f>
        <v>0344-5607</v>
      </c>
      <c r="E4881" s="5">
        <v>3.0419999999999998</v>
      </c>
      <c r="F4881" s="5">
        <v>0.65700000000000003</v>
      </c>
    </row>
    <row r="4882" spans="2:6" x14ac:dyDescent="0.2">
      <c r="B4882" s="9" t="s">
        <v>800</v>
      </c>
      <c r="C4882" s="15" t="s">
        <v>11255</v>
      </c>
      <c r="D4882" s="12" t="str">
        <f>"1933-7213"</f>
        <v>1933-7213</v>
      </c>
      <c r="E4882" s="5">
        <v>7.62</v>
      </c>
      <c r="F4882" s="5">
        <v>0.94199999999999995</v>
      </c>
    </row>
    <row r="4883" spans="2:6" x14ac:dyDescent="0.2">
      <c r="B4883" s="9" t="s">
        <v>6268</v>
      </c>
      <c r="C4883" s="15" t="s">
        <v>6268</v>
      </c>
      <c r="D4883" s="12" t="str">
        <f>"0161-813X"</f>
        <v>0161-813X</v>
      </c>
      <c r="E4883" s="5">
        <v>4.2939999999999996</v>
      </c>
      <c r="F4883" s="5">
        <v>0.73099999999999998</v>
      </c>
    </row>
    <row r="4884" spans="2:6" x14ac:dyDescent="0.2">
      <c r="B4884" s="9" t="s">
        <v>6267</v>
      </c>
      <c r="C4884" s="15" t="s">
        <v>2458</v>
      </c>
      <c r="D4884" s="12" t="str">
        <f>"0892-0362"</f>
        <v>0892-0362</v>
      </c>
      <c r="E4884" s="5">
        <v>3.7629999999999999</v>
      </c>
      <c r="F4884" s="5">
        <v>0.624</v>
      </c>
    </row>
    <row r="4885" spans="2:6" x14ac:dyDescent="0.2">
      <c r="B4885" s="9" t="s">
        <v>6266</v>
      </c>
      <c r="C4885" s="15" t="s">
        <v>2457</v>
      </c>
      <c r="D4885" s="12" t="str">
        <f>"1476-3524"</f>
        <v>1476-3524</v>
      </c>
      <c r="E4885" s="5">
        <v>3.911</v>
      </c>
      <c r="F4885" s="5">
        <v>0.55300000000000005</v>
      </c>
    </row>
    <row r="4886" spans="2:6" x14ac:dyDescent="0.2">
      <c r="B4886" s="9" t="s">
        <v>6269</v>
      </c>
      <c r="C4886" s="15" t="s">
        <v>2459</v>
      </c>
      <c r="D4886" s="12" t="str">
        <f>"0733-2467"</f>
        <v>0733-2467</v>
      </c>
      <c r="E4886" s="5">
        <v>2.6960000000000002</v>
      </c>
      <c r="F4886" s="5">
        <v>0.44900000000000001</v>
      </c>
    </row>
    <row r="4887" spans="2:6" x14ac:dyDescent="0.2">
      <c r="B4887" s="9" t="s">
        <v>801</v>
      </c>
      <c r="C4887" s="15" t="s">
        <v>802</v>
      </c>
      <c r="D4887" s="12" t="str">
        <f>"1871-6784"</f>
        <v>1871-6784</v>
      </c>
      <c r="E4887" s="5">
        <v>5.0789999999999997</v>
      </c>
      <c r="F4887" s="5">
        <v>0.88300000000000001</v>
      </c>
    </row>
    <row r="4888" spans="2:6" x14ac:dyDescent="0.2">
      <c r="B4888" s="9" t="s">
        <v>11256</v>
      </c>
      <c r="C4888" s="15" t="s">
        <v>11257</v>
      </c>
      <c r="D4888" s="12" t="str">
        <f>"1534-8687"</f>
        <v>1534-8687</v>
      </c>
      <c r="E4888" s="5">
        <v>2.3639999999999999</v>
      </c>
      <c r="F4888" s="5">
        <v>0.48099999999999998</v>
      </c>
    </row>
    <row r="4889" spans="2:6" x14ac:dyDescent="0.2">
      <c r="B4889" s="9" t="s">
        <v>6270</v>
      </c>
      <c r="C4889" s="15" t="s">
        <v>2460</v>
      </c>
      <c r="D4889" s="12" t="str">
        <f>"0028-4793"</f>
        <v>0028-4793</v>
      </c>
      <c r="E4889" s="5">
        <v>91.245000000000005</v>
      </c>
      <c r="F4889" s="5">
        <v>1</v>
      </c>
    </row>
    <row r="4890" spans="2:6" x14ac:dyDescent="0.2">
      <c r="B4890" s="9" t="s">
        <v>6271</v>
      </c>
      <c r="C4890" s="15" t="s">
        <v>2461</v>
      </c>
      <c r="D4890" s="12" t="str">
        <f>"1463-6778"</f>
        <v>1463-6778</v>
      </c>
      <c r="E4890" s="5">
        <v>2.1890000000000001</v>
      </c>
      <c r="F4890" s="5">
        <v>0.878</v>
      </c>
    </row>
    <row r="4891" spans="2:6" x14ac:dyDescent="0.2">
      <c r="B4891" s="9" t="s">
        <v>803</v>
      </c>
      <c r="C4891" s="15" t="s">
        <v>804</v>
      </c>
      <c r="D4891" s="12" t="str">
        <f>"0732-118X"</f>
        <v>0732-118X</v>
      </c>
      <c r="E4891" s="5">
        <v>2.621</v>
      </c>
      <c r="F4891" s="5">
        <v>0.61199999999999999</v>
      </c>
    </row>
    <row r="4892" spans="2:6" x14ac:dyDescent="0.2">
      <c r="B4892" s="9" t="s">
        <v>6272</v>
      </c>
      <c r="C4892" s="15" t="s">
        <v>2462</v>
      </c>
      <c r="D4892" s="12" t="str">
        <f>"1144-0546"</f>
        <v>1144-0546</v>
      </c>
      <c r="E4892" s="5">
        <v>3.5910000000000002</v>
      </c>
      <c r="F4892" s="5">
        <v>0.58399999999999996</v>
      </c>
    </row>
    <row r="4893" spans="2:6" x14ac:dyDescent="0.2">
      <c r="B4893" s="9" t="s">
        <v>11258</v>
      </c>
      <c r="C4893" s="15" t="s">
        <v>11259</v>
      </c>
      <c r="D4893" s="12" t="str">
        <f>"0028-6060"</f>
        <v>0028-6060</v>
      </c>
      <c r="E4893" s="5">
        <v>2.0150000000000001</v>
      </c>
      <c r="F4893" s="5">
        <v>0.53200000000000003</v>
      </c>
    </row>
    <row r="4894" spans="2:6" x14ac:dyDescent="0.2">
      <c r="B4894" s="9" t="s">
        <v>6273</v>
      </c>
      <c r="C4894" s="15" t="s">
        <v>2463</v>
      </c>
      <c r="D4894" s="12" t="str">
        <f>"1121-7138"</f>
        <v>1121-7138</v>
      </c>
      <c r="E4894" s="5">
        <v>2.4790000000000001</v>
      </c>
      <c r="F4894" s="5">
        <v>0.25900000000000001</v>
      </c>
    </row>
    <row r="4895" spans="2:6" x14ac:dyDescent="0.2">
      <c r="B4895" s="9" t="s">
        <v>11260</v>
      </c>
      <c r="C4895" s="15" t="s">
        <v>11261</v>
      </c>
      <c r="D4895" s="12" t="str">
        <f>"0896-6346"</f>
        <v>0896-6346</v>
      </c>
      <c r="E4895" s="5">
        <v>1.292</v>
      </c>
      <c r="F4895" s="5">
        <v>0.32100000000000001</v>
      </c>
    </row>
    <row r="4896" spans="2:6" x14ac:dyDescent="0.2">
      <c r="B4896" s="9" t="s">
        <v>6274</v>
      </c>
      <c r="C4896" s="15" t="s">
        <v>2464</v>
      </c>
      <c r="D4896" s="12" t="str">
        <f>"0262-4079"</f>
        <v>0262-4079</v>
      </c>
      <c r="E4896" s="5">
        <v>0.31900000000000001</v>
      </c>
      <c r="F4896" s="5">
        <v>1.4E-2</v>
      </c>
    </row>
    <row r="4897" spans="2:6" x14ac:dyDescent="0.2">
      <c r="B4897" s="9" t="s">
        <v>6275</v>
      </c>
      <c r="C4897" s="15" t="s">
        <v>2465</v>
      </c>
      <c r="D4897" s="12" t="str">
        <f>"0048-0169"</f>
        <v>0048-0169</v>
      </c>
      <c r="E4897" s="5">
        <v>1.6279999999999999</v>
      </c>
      <c r="F4897" s="5">
        <v>0.56799999999999995</v>
      </c>
    </row>
    <row r="4898" spans="2:6" x14ac:dyDescent="0.2">
      <c r="B4898" s="9" t="s">
        <v>11262</v>
      </c>
      <c r="C4898" s="15" t="s">
        <v>11263</v>
      </c>
      <c r="D4898" s="12" t="str">
        <f>"1590-5896"</f>
        <v>1590-5896</v>
      </c>
      <c r="E4898" s="5">
        <v>0.33800000000000002</v>
      </c>
      <c r="F4898" s="5">
        <v>0.122</v>
      </c>
    </row>
    <row r="4899" spans="2:6" x14ac:dyDescent="0.2">
      <c r="B4899" s="9" t="s">
        <v>6276</v>
      </c>
      <c r="C4899" s="15" t="s">
        <v>2466</v>
      </c>
      <c r="D4899" s="12" t="str">
        <f>"1462-2203"</f>
        <v>1462-2203</v>
      </c>
      <c r="E4899" s="5">
        <v>4.2439999999999998</v>
      </c>
      <c r="F4899" s="5">
        <v>0.82899999999999996</v>
      </c>
    </row>
    <row r="4900" spans="2:6" x14ac:dyDescent="0.2">
      <c r="B4900" s="9" t="s">
        <v>11264</v>
      </c>
      <c r="C4900" s="15" t="s">
        <v>11265</v>
      </c>
      <c r="D4900" s="12" t="str">
        <f>"1119-3077"</f>
        <v>1119-3077</v>
      </c>
      <c r="E4900" s="5">
        <v>0.96799999999999997</v>
      </c>
      <c r="F4900" s="5">
        <v>0.192</v>
      </c>
    </row>
    <row r="4901" spans="2:6" x14ac:dyDescent="0.2">
      <c r="B4901" s="9" t="s">
        <v>6277</v>
      </c>
      <c r="C4901" s="15" t="s">
        <v>2467</v>
      </c>
      <c r="D4901" s="12" t="str">
        <f>"1089-8603"</f>
        <v>1089-8603</v>
      </c>
      <c r="E4901" s="5">
        <v>4.4269999999999996</v>
      </c>
      <c r="F4901" s="5">
        <v>0.622</v>
      </c>
    </row>
    <row r="4902" spans="2:6" x14ac:dyDescent="0.2">
      <c r="B4902" s="9" t="s">
        <v>6278</v>
      </c>
      <c r="C4902" s="15" t="s">
        <v>2468</v>
      </c>
      <c r="D4902" s="12" t="str">
        <f>"0952-3480"</f>
        <v>0952-3480</v>
      </c>
      <c r="E4902" s="5">
        <v>4.0439999999999996</v>
      </c>
      <c r="F4902" s="5">
        <v>0.88400000000000001</v>
      </c>
    </row>
    <row r="4903" spans="2:6" x14ac:dyDescent="0.2">
      <c r="B4903" s="9" t="s">
        <v>6279</v>
      </c>
      <c r="C4903" s="15" t="s">
        <v>2469</v>
      </c>
      <c r="D4903" s="12" t="str">
        <f>"0736-2501"</f>
        <v>0736-2501</v>
      </c>
      <c r="E4903" s="5">
        <v>0.46600000000000003</v>
      </c>
      <c r="F4903" s="5">
        <v>3.3000000000000002E-2</v>
      </c>
    </row>
    <row r="4904" spans="2:6" x14ac:dyDescent="0.2">
      <c r="B4904" s="9" t="s">
        <v>11266</v>
      </c>
      <c r="C4904" s="15" t="s">
        <v>11267</v>
      </c>
      <c r="D4904" s="12" t="str">
        <f>"1463-1741"</f>
        <v>1463-1741</v>
      </c>
      <c r="E4904" s="5">
        <v>0.86699999999999999</v>
      </c>
      <c r="F4904" s="5">
        <v>7.3999999999999996E-2</v>
      </c>
    </row>
    <row r="4905" spans="2:6" x14ac:dyDescent="0.2">
      <c r="B4905" s="9" t="s">
        <v>11268</v>
      </c>
      <c r="C4905" s="15" t="s">
        <v>11269</v>
      </c>
      <c r="D4905" s="12" t="str">
        <f>"1090-0578"</f>
        <v>1090-0578</v>
      </c>
      <c r="E4905" s="5">
        <v>1.087</v>
      </c>
      <c r="F4905" s="5">
        <v>0.192</v>
      </c>
    </row>
    <row r="4906" spans="2:6" x14ac:dyDescent="0.2">
      <c r="B4906" s="9" t="s">
        <v>6280</v>
      </c>
      <c r="C4906" s="15" t="s">
        <v>2470</v>
      </c>
      <c r="D4906" s="12" t="str">
        <f>"0924-090X"</f>
        <v>0924-090X</v>
      </c>
      <c r="E4906" s="5">
        <v>5.0220000000000002</v>
      </c>
      <c r="F4906" s="5">
        <v>0.88900000000000001</v>
      </c>
    </row>
    <row r="4907" spans="2:6" x14ac:dyDescent="0.2">
      <c r="B4907" s="9" t="s">
        <v>11270</v>
      </c>
      <c r="C4907" s="15" t="s">
        <v>11271</v>
      </c>
      <c r="D4907" s="12" t="str">
        <f>"0809-8131"</f>
        <v>0809-8131</v>
      </c>
      <c r="E4907" s="5">
        <v>1.2549999999999999</v>
      </c>
      <c r="F4907" s="5">
        <v>0.11799999999999999</v>
      </c>
    </row>
    <row r="4908" spans="2:6" x14ac:dyDescent="0.2">
      <c r="B4908" s="9" t="s">
        <v>6281</v>
      </c>
      <c r="C4908" s="15" t="s">
        <v>2471</v>
      </c>
      <c r="D4908" s="12" t="str">
        <f>"0803-9488"</f>
        <v>0803-9488</v>
      </c>
      <c r="E4908" s="5">
        <v>2.202</v>
      </c>
      <c r="F4908" s="5">
        <v>0.31900000000000001</v>
      </c>
    </row>
    <row r="4909" spans="2:6" x14ac:dyDescent="0.2">
      <c r="B4909" s="9" t="s">
        <v>805</v>
      </c>
      <c r="C4909" s="15" t="s">
        <v>806</v>
      </c>
      <c r="D4909" s="12" t="str">
        <f>"1901-2276"</f>
        <v>1901-2276</v>
      </c>
      <c r="E4909" s="5">
        <v>1.3</v>
      </c>
      <c r="F4909" s="5">
        <v>0.26600000000000001</v>
      </c>
    </row>
    <row r="4910" spans="2:6" x14ac:dyDescent="0.2">
      <c r="B4910" s="9" t="s">
        <v>11272</v>
      </c>
      <c r="C4910" s="15" t="s">
        <v>11273</v>
      </c>
      <c r="D4910" s="12" t="str">
        <f>"1455-0725"</f>
        <v>1455-0725</v>
      </c>
      <c r="E4910" s="5">
        <v>1.6</v>
      </c>
      <c r="F4910" s="5">
        <v>0.19500000000000001</v>
      </c>
    </row>
    <row r="4911" spans="2:6" x14ac:dyDescent="0.2">
      <c r="B4911" s="9" t="s">
        <v>11274</v>
      </c>
      <c r="C4911" s="15" t="s">
        <v>11275</v>
      </c>
      <c r="D4911" s="12" t="str">
        <f>"1300-0667"</f>
        <v>1300-0667</v>
      </c>
      <c r="E4911" s="5">
        <v>1.339</v>
      </c>
      <c r="F4911" s="5">
        <v>7.6999999999999999E-2</v>
      </c>
    </row>
    <row r="4912" spans="2:6" x14ac:dyDescent="0.2">
      <c r="B4912" s="9" t="s">
        <v>807</v>
      </c>
      <c r="C4912" s="15" t="s">
        <v>11276</v>
      </c>
      <c r="D4912" s="12" t="str">
        <f>"0177-2309"</f>
        <v>0177-2309</v>
      </c>
      <c r="E4912" s="5">
        <v>0.35399999999999998</v>
      </c>
      <c r="F4912" s="5">
        <v>3.1E-2</v>
      </c>
    </row>
    <row r="4913" spans="2:6" x14ac:dyDescent="0.2">
      <c r="B4913" s="9" t="s">
        <v>11277</v>
      </c>
      <c r="C4913" s="15" t="s">
        <v>11278</v>
      </c>
      <c r="D4913" s="12" t="str">
        <f>"0035-9149"</f>
        <v>0035-9149</v>
      </c>
      <c r="E4913" s="5">
        <v>0.82599999999999996</v>
      </c>
      <c r="F4913" s="5">
        <v>0.432</v>
      </c>
    </row>
    <row r="4914" spans="2:6" x14ac:dyDescent="0.2">
      <c r="B4914" s="9" t="s">
        <v>808</v>
      </c>
      <c r="C4914" s="15" t="s">
        <v>809</v>
      </c>
      <c r="D4914" s="12" t="str">
        <f>"1434-6222"</f>
        <v>1434-6222</v>
      </c>
      <c r="E4914" s="5">
        <v>0.82599999999999996</v>
      </c>
      <c r="F4914" s="5">
        <v>0.125</v>
      </c>
    </row>
    <row r="4915" spans="2:6" x14ac:dyDescent="0.2">
      <c r="B4915" s="9" t="s">
        <v>11279</v>
      </c>
      <c r="C4915" s="15" t="s">
        <v>11280</v>
      </c>
      <c r="D4915" s="12" t="str">
        <f>"2055-5008"</f>
        <v>2055-5008</v>
      </c>
      <c r="E4915" s="5">
        <v>7.29</v>
      </c>
      <c r="F4915" s="5">
        <v>0.89900000000000002</v>
      </c>
    </row>
    <row r="4916" spans="2:6" x14ac:dyDescent="0.2">
      <c r="B4916" s="9" t="s">
        <v>11281</v>
      </c>
      <c r="C4916" s="15" t="s">
        <v>11282</v>
      </c>
      <c r="D4916" s="12" t="str">
        <f>"2374-4677"</f>
        <v>2374-4677</v>
      </c>
      <c r="E4916" s="5">
        <v>6.923</v>
      </c>
      <c r="F4916" s="5">
        <v>0.80900000000000005</v>
      </c>
    </row>
    <row r="4917" spans="2:6" x14ac:dyDescent="0.2">
      <c r="B4917" s="9" t="s">
        <v>11283</v>
      </c>
      <c r="C4917" s="15" t="s">
        <v>11284</v>
      </c>
      <c r="D4917" s="12" t="str">
        <f>"2398-6352"</f>
        <v>2398-6352</v>
      </c>
      <c r="E4917" s="5">
        <v>11.653</v>
      </c>
      <c r="F4917" s="5">
        <v>1</v>
      </c>
    </row>
    <row r="4918" spans="2:6" x14ac:dyDescent="0.2">
      <c r="B4918" s="9" t="s">
        <v>11285</v>
      </c>
      <c r="C4918" s="15" t="s">
        <v>11286</v>
      </c>
      <c r="D4918" s="12" t="str">
        <f>"2056-7944"</f>
        <v>2056-7944</v>
      </c>
      <c r="E4918" s="5">
        <v>8.6170000000000009</v>
      </c>
      <c r="F4918" s="5">
        <v>0.91400000000000003</v>
      </c>
    </row>
    <row r="4919" spans="2:6" x14ac:dyDescent="0.2">
      <c r="B4919" s="9" t="s">
        <v>11287</v>
      </c>
      <c r="C4919" s="15" t="s">
        <v>11288</v>
      </c>
      <c r="D4919" s="12" t="str">
        <f>"2373-8065"</f>
        <v>2373-8065</v>
      </c>
      <c r="E4919" s="5">
        <v>4.415</v>
      </c>
      <c r="F4919" s="5">
        <v>0.79200000000000004</v>
      </c>
    </row>
    <row r="4920" spans="2:6" x14ac:dyDescent="0.2">
      <c r="B4920" s="9" t="s">
        <v>11289</v>
      </c>
      <c r="C4920" s="15" t="s">
        <v>11289</v>
      </c>
      <c r="D4920" s="12" t="str">
        <f>"2373-8057"</f>
        <v>2373-8057</v>
      </c>
      <c r="E4920" s="5">
        <v>8.6509999999999998</v>
      </c>
      <c r="F4920" s="5">
        <v>0.93</v>
      </c>
    </row>
    <row r="4921" spans="2:6" x14ac:dyDescent="0.2">
      <c r="B4921" s="9" t="s">
        <v>11290</v>
      </c>
      <c r="C4921" s="15" t="s">
        <v>11291</v>
      </c>
      <c r="D4921" s="12" t="str">
        <f>"2397-768X"</f>
        <v>2397-768X</v>
      </c>
      <c r="E4921" s="5">
        <v>8.2539999999999996</v>
      </c>
      <c r="F4921" s="5">
        <v>0.85899999999999999</v>
      </c>
    </row>
    <row r="4922" spans="2:6" x14ac:dyDescent="0.2">
      <c r="B4922" s="9" t="s">
        <v>11292</v>
      </c>
      <c r="C4922" s="15" t="s">
        <v>11293</v>
      </c>
      <c r="D4922" s="12" t="str">
        <f>"2055-1010"</f>
        <v>2055-1010</v>
      </c>
      <c r="E4922" s="5">
        <v>2.871</v>
      </c>
      <c r="F4922" s="5">
        <v>0.72199999999999998</v>
      </c>
    </row>
    <row r="4923" spans="2:6" x14ac:dyDescent="0.2">
      <c r="B4923" s="9" t="s">
        <v>11294</v>
      </c>
      <c r="C4923" s="15" t="s">
        <v>11295</v>
      </c>
      <c r="D4923" s="12" t="str">
        <f>"2057-3995"</f>
        <v>2057-3995</v>
      </c>
      <c r="E4923" s="5">
        <v>10.364000000000001</v>
      </c>
      <c r="F4923" s="5">
        <v>0.95399999999999996</v>
      </c>
    </row>
    <row r="4924" spans="2:6" x14ac:dyDescent="0.2">
      <c r="B4924" s="9" t="s">
        <v>11296</v>
      </c>
      <c r="C4924" s="15" t="s">
        <v>11297</v>
      </c>
      <c r="D4924" s="12" t="str">
        <f>"2334-265X"</f>
        <v>2334-265X</v>
      </c>
      <c r="E4924" s="5">
        <v>5.2</v>
      </c>
      <c r="F4924" s="5">
        <v>0.84299999999999997</v>
      </c>
    </row>
    <row r="4925" spans="2:6" x14ac:dyDescent="0.2">
      <c r="B4925" s="9" t="s">
        <v>11298</v>
      </c>
      <c r="C4925" s="15" t="s">
        <v>11299</v>
      </c>
      <c r="D4925" s="12" t="str">
        <f>"2056-7936"</f>
        <v>2056-7936</v>
      </c>
      <c r="E4925" s="5">
        <v>4.3499999999999996</v>
      </c>
      <c r="F4925" s="5">
        <v>0.9</v>
      </c>
    </row>
    <row r="4926" spans="2:6" x14ac:dyDescent="0.2">
      <c r="B4926" s="9" t="s">
        <v>11300</v>
      </c>
      <c r="C4926" s="15" t="s">
        <v>11301</v>
      </c>
      <c r="D4926" s="12" t="str">
        <f>"2059-0105"</f>
        <v>2059-0105</v>
      </c>
      <c r="E4926" s="5">
        <v>7.3440000000000003</v>
      </c>
      <c r="F4926" s="5">
        <v>0.871</v>
      </c>
    </row>
    <row r="4927" spans="2:6" x14ac:dyDescent="0.2">
      <c r="B4927" s="9" t="s">
        <v>6282</v>
      </c>
      <c r="C4927" s="15" t="s">
        <v>2472</v>
      </c>
      <c r="D4927" s="12" t="str">
        <f>"0028-1298"</f>
        <v>0028-1298</v>
      </c>
      <c r="E4927" s="5">
        <v>3</v>
      </c>
      <c r="F4927" s="5">
        <v>0.4</v>
      </c>
    </row>
    <row r="4928" spans="2:6" x14ac:dyDescent="0.2">
      <c r="B4928" s="9" t="s">
        <v>6285</v>
      </c>
      <c r="C4928" s="15" t="s">
        <v>2475</v>
      </c>
      <c r="D4928" s="12" t="str">
        <f>"0305-1048"</f>
        <v>0305-1048</v>
      </c>
      <c r="E4928" s="5">
        <v>16.971</v>
      </c>
      <c r="F4928" s="5">
        <v>0.97599999999999998</v>
      </c>
    </row>
    <row r="4929" spans="2:6" x14ac:dyDescent="0.2">
      <c r="B4929" s="9" t="s">
        <v>11302</v>
      </c>
      <c r="C4929" s="15" t="s">
        <v>11303</v>
      </c>
      <c r="D4929" s="12" t="str">
        <f>"2159-3345"</f>
        <v>2159-3345</v>
      </c>
      <c r="E4929" s="5">
        <v>5.4859999999999998</v>
      </c>
      <c r="F4929" s="5">
        <v>0.85499999999999998</v>
      </c>
    </row>
    <row r="4930" spans="2:6" x14ac:dyDescent="0.2">
      <c r="B4930" s="9" t="s">
        <v>6286</v>
      </c>
      <c r="C4930" s="15" t="s">
        <v>2476</v>
      </c>
      <c r="D4930" s="12" t="str">
        <f>"1525-7770"</f>
        <v>1525-7770</v>
      </c>
      <c r="E4930" s="5">
        <v>1.381</v>
      </c>
      <c r="F4930" s="5">
        <v>6.4000000000000001E-2</v>
      </c>
    </row>
    <row r="4931" spans="2:6" x14ac:dyDescent="0.2">
      <c r="B4931" s="9" t="s">
        <v>11304</v>
      </c>
      <c r="C4931" s="15" t="s">
        <v>11305</v>
      </c>
      <c r="D4931" s="12" t="str">
        <f>"1949-1034"</f>
        <v>1949-1034</v>
      </c>
      <c r="E4931" s="5">
        <v>4.1970000000000001</v>
      </c>
      <c r="F4931" s="5">
        <v>0.44</v>
      </c>
    </row>
    <row r="4932" spans="2:6" x14ac:dyDescent="0.2">
      <c r="B4932" s="9" t="s">
        <v>6283</v>
      </c>
      <c r="C4932" s="15" t="s">
        <v>2473</v>
      </c>
      <c r="D4932" s="12" t="str">
        <f>"0969-8051"</f>
        <v>0969-8051</v>
      </c>
      <c r="E4932" s="5">
        <v>2.4079999999999999</v>
      </c>
      <c r="F4932" s="5">
        <v>0.376</v>
      </c>
    </row>
    <row r="4933" spans="2:6" x14ac:dyDescent="0.2">
      <c r="B4933" s="9" t="s">
        <v>6284</v>
      </c>
      <c r="C4933" s="15" t="s">
        <v>2474</v>
      </c>
      <c r="D4933" s="12" t="str">
        <f>"0143-3636"</f>
        <v>0143-3636</v>
      </c>
      <c r="E4933" s="5">
        <v>1.69</v>
      </c>
      <c r="F4933" s="5">
        <v>0.20300000000000001</v>
      </c>
    </row>
    <row r="4934" spans="2:6" x14ac:dyDescent="0.2">
      <c r="B4934" s="9" t="s">
        <v>6287</v>
      </c>
      <c r="C4934" s="15" t="s">
        <v>2477</v>
      </c>
      <c r="D4934" s="12" t="str">
        <f>"0029-5566"</f>
        <v>0029-5566</v>
      </c>
      <c r="E4934" s="5">
        <v>1.379</v>
      </c>
      <c r="F4934" s="5">
        <v>0.12</v>
      </c>
    </row>
    <row r="4935" spans="2:6" x14ac:dyDescent="0.2">
      <c r="B4935" s="9" t="s">
        <v>11306</v>
      </c>
      <c r="C4935" s="15" t="s">
        <v>11307</v>
      </c>
      <c r="D4935" s="12" t="str">
        <f>"0394-7394"</f>
        <v>0394-7394</v>
      </c>
      <c r="E4935" s="5">
        <v>0.32500000000000001</v>
      </c>
      <c r="F4935" s="5">
        <v>9.5000000000000001E-2</v>
      </c>
    </row>
    <row r="4936" spans="2:6" x14ac:dyDescent="0.2">
      <c r="B4936" s="9" t="s">
        <v>6288</v>
      </c>
      <c r="C4936" s="15" t="s">
        <v>2478</v>
      </c>
      <c r="D4936" s="12" t="str">
        <f>"0029-6465"</f>
        <v>0029-6465</v>
      </c>
      <c r="E4936" s="5">
        <v>1.208</v>
      </c>
      <c r="F4936" s="5">
        <v>0.20599999999999999</v>
      </c>
    </row>
    <row r="4937" spans="2:6" x14ac:dyDescent="0.2">
      <c r="B4937" s="9" t="s">
        <v>11308</v>
      </c>
      <c r="C4937" s="15" t="s">
        <v>11309</v>
      </c>
      <c r="D4937" s="12" t="str">
        <f>"1478-5153"</f>
        <v>1478-5153</v>
      </c>
      <c r="E4937" s="5">
        <v>2.3250000000000002</v>
      </c>
      <c r="F4937" s="5">
        <v>0.72199999999999998</v>
      </c>
    </row>
    <row r="4938" spans="2:6" x14ac:dyDescent="0.2">
      <c r="B4938" s="9" t="s">
        <v>6289</v>
      </c>
      <c r="C4938" s="15" t="s">
        <v>2479</v>
      </c>
      <c r="D4938" s="12" t="str">
        <f>"0746-1739"</f>
        <v>0746-1739</v>
      </c>
      <c r="E4938" s="5">
        <v>1.085</v>
      </c>
      <c r="F4938" s="5">
        <v>0.16700000000000001</v>
      </c>
    </row>
    <row r="4939" spans="2:6" x14ac:dyDescent="0.2">
      <c r="B4939" s="9" t="s">
        <v>810</v>
      </c>
      <c r="C4939" s="15" t="s">
        <v>811</v>
      </c>
      <c r="D4939" s="12" t="str">
        <f>"0363-3624"</f>
        <v>0363-3624</v>
      </c>
      <c r="E4939" s="5">
        <v>2.0819999999999999</v>
      </c>
      <c r="F4939" s="5">
        <v>0.57099999999999995</v>
      </c>
    </row>
    <row r="4940" spans="2:6" x14ac:dyDescent="0.2">
      <c r="B4940" s="9" t="s">
        <v>6290</v>
      </c>
      <c r="C4940" s="15" t="s">
        <v>2480</v>
      </c>
      <c r="D4940" s="12" t="str">
        <f>"0260-6917"</f>
        <v>0260-6917</v>
      </c>
      <c r="E4940" s="5">
        <v>3.4420000000000002</v>
      </c>
      <c r="F4940" s="5">
        <v>0.96</v>
      </c>
    </row>
    <row r="4941" spans="2:6" x14ac:dyDescent="0.2">
      <c r="B4941" s="9" t="s">
        <v>11310</v>
      </c>
      <c r="C4941" s="15" t="s">
        <v>11311</v>
      </c>
      <c r="D4941" s="12" t="str">
        <f>"1471-5953"</f>
        <v>1471-5953</v>
      </c>
      <c r="E4941" s="5">
        <v>2.2810000000000001</v>
      </c>
      <c r="F4941" s="5">
        <v>0.69799999999999995</v>
      </c>
    </row>
    <row r="4942" spans="2:6" x14ac:dyDescent="0.2">
      <c r="B4942" s="9" t="s">
        <v>6291</v>
      </c>
      <c r="C4942" s="15" t="s">
        <v>2481</v>
      </c>
      <c r="D4942" s="12" t="str">
        <f>"0969-7330"</f>
        <v>0969-7330</v>
      </c>
      <c r="E4942" s="5">
        <v>2.8740000000000001</v>
      </c>
      <c r="F4942" s="5">
        <v>0.873</v>
      </c>
    </row>
    <row r="4943" spans="2:6" x14ac:dyDescent="0.2">
      <c r="B4943" s="9" t="s">
        <v>812</v>
      </c>
      <c r="C4943" s="15" t="s">
        <v>813</v>
      </c>
      <c r="D4943" s="12" t="str">
        <f>"1441-0745"</f>
        <v>1441-0745</v>
      </c>
      <c r="E4943" s="5">
        <v>1.857</v>
      </c>
      <c r="F4943" s="5">
        <v>0.48399999999999999</v>
      </c>
    </row>
    <row r="4944" spans="2:6" x14ac:dyDescent="0.2">
      <c r="B4944" s="9" t="s">
        <v>814</v>
      </c>
      <c r="C4944" s="15" t="s">
        <v>815</v>
      </c>
      <c r="D4944" s="12" t="str">
        <f>"1320-7881"</f>
        <v>1320-7881</v>
      </c>
      <c r="E4944" s="5">
        <v>2.3929999999999998</v>
      </c>
      <c r="F4944" s="5">
        <v>0.79400000000000004</v>
      </c>
    </row>
    <row r="4945" spans="2:6" x14ac:dyDescent="0.2">
      <c r="B4945" s="9" t="s">
        <v>11312</v>
      </c>
      <c r="C4945" s="15" t="s">
        <v>11313</v>
      </c>
      <c r="D4945" s="12" t="str">
        <f>"2054-1058"</f>
        <v>2054-1058</v>
      </c>
      <c r="E4945" s="5">
        <v>1.762</v>
      </c>
      <c r="F4945" s="5">
        <v>0.437</v>
      </c>
    </row>
    <row r="4946" spans="2:6" x14ac:dyDescent="0.2">
      <c r="B4946" s="9" t="s">
        <v>6292</v>
      </c>
      <c r="C4946" s="15" t="s">
        <v>2482</v>
      </c>
      <c r="D4946" s="12" t="str">
        <f>"0029-6554"</f>
        <v>0029-6554</v>
      </c>
      <c r="E4946" s="5">
        <v>3.25</v>
      </c>
      <c r="F4946" s="5">
        <v>0.94399999999999995</v>
      </c>
    </row>
    <row r="4947" spans="2:6" x14ac:dyDescent="0.2">
      <c r="B4947" s="9" t="s">
        <v>11314</v>
      </c>
      <c r="C4947" s="15" t="s">
        <v>11315</v>
      </c>
      <c r="D4947" s="12" t="str">
        <f>"1466-7681"</f>
        <v>1466-7681</v>
      </c>
      <c r="E4947" s="5">
        <v>1.2789999999999999</v>
      </c>
      <c r="F4947" s="5">
        <v>0.254</v>
      </c>
    </row>
    <row r="4948" spans="2:6" x14ac:dyDescent="0.2">
      <c r="B4948" s="9" t="s">
        <v>6293</v>
      </c>
      <c r="C4948" s="15" t="s">
        <v>2483</v>
      </c>
      <c r="D4948" s="12" t="str">
        <f>"0029-6562"</f>
        <v>0029-6562</v>
      </c>
      <c r="E4948" s="5">
        <v>2.3809999999999998</v>
      </c>
      <c r="F4948" s="5">
        <v>0.76200000000000001</v>
      </c>
    </row>
    <row r="4949" spans="2:6" x14ac:dyDescent="0.2">
      <c r="B4949" s="9" t="s">
        <v>6294</v>
      </c>
      <c r="C4949" s="15" t="s">
        <v>2484</v>
      </c>
      <c r="D4949" s="12" t="str">
        <f>"0894-3184"</f>
        <v>0894-3184</v>
      </c>
      <c r="E4949" s="5">
        <v>0.88300000000000001</v>
      </c>
      <c r="F4949" s="5">
        <v>7.9000000000000001E-2</v>
      </c>
    </row>
    <row r="4950" spans="2:6" x14ac:dyDescent="0.2">
      <c r="B4950" s="9" t="s">
        <v>11316</v>
      </c>
      <c r="C4950" s="15" t="s">
        <v>11317</v>
      </c>
      <c r="D4950" s="12" t="str">
        <f>"1471-9827"</f>
        <v>1471-9827</v>
      </c>
      <c r="E4950" s="5">
        <v>3.609</v>
      </c>
      <c r="F4950" s="5">
        <v>0.443</v>
      </c>
    </row>
    <row r="4951" spans="2:6" x14ac:dyDescent="0.2">
      <c r="B4951" s="9" t="s">
        <v>6295</v>
      </c>
      <c r="C4951" s="15" t="s">
        <v>2485</v>
      </c>
      <c r="D4951" s="12" t="str">
        <f>"0163-5581"</f>
        <v>0163-5581</v>
      </c>
      <c r="E4951" s="5">
        <v>2.9</v>
      </c>
      <c r="F4951" s="5">
        <v>0.318</v>
      </c>
    </row>
    <row r="4952" spans="2:6" x14ac:dyDescent="0.2">
      <c r="B4952" s="9" t="s">
        <v>816</v>
      </c>
      <c r="C4952" s="15" t="s">
        <v>817</v>
      </c>
      <c r="D4952" s="12" t="str">
        <f>"0985-0562"</f>
        <v>0985-0562</v>
      </c>
      <c r="E4952" s="5">
        <v>0.47299999999999998</v>
      </c>
      <c r="F4952" s="5">
        <v>3.4000000000000002E-2</v>
      </c>
    </row>
    <row r="4953" spans="2:6" x14ac:dyDescent="0.2">
      <c r="B4953" s="9" t="s">
        <v>818</v>
      </c>
      <c r="C4953" s="15" t="s">
        <v>819</v>
      </c>
      <c r="D4953" s="12" t="str">
        <f>"1941-2452"</f>
        <v>1941-2452</v>
      </c>
      <c r="E4953" s="5">
        <v>3.08</v>
      </c>
      <c r="F4953" s="5">
        <v>0.34100000000000003</v>
      </c>
    </row>
    <row r="4954" spans="2:6" x14ac:dyDescent="0.2">
      <c r="B4954" s="9" t="s">
        <v>11318</v>
      </c>
      <c r="C4954" s="15" t="s">
        <v>11319</v>
      </c>
      <c r="D4954" s="12" t="str">
        <f>"2044-4052"</f>
        <v>2044-4052</v>
      </c>
      <c r="E4954" s="5">
        <v>5.0970000000000004</v>
      </c>
      <c r="F4954" s="5">
        <v>0.76100000000000001</v>
      </c>
    </row>
    <row r="4955" spans="2:6" x14ac:dyDescent="0.2">
      <c r="B4955" s="9" t="s">
        <v>820</v>
      </c>
      <c r="C4955" s="15" t="s">
        <v>821</v>
      </c>
      <c r="D4955" s="12" t="str">
        <f>"1446-6368"</f>
        <v>1446-6368</v>
      </c>
      <c r="E4955" s="5">
        <v>2.3330000000000002</v>
      </c>
      <c r="F4955" s="5">
        <v>0.26100000000000001</v>
      </c>
    </row>
    <row r="4956" spans="2:6" x14ac:dyDescent="0.2">
      <c r="B4956" s="9" t="s">
        <v>822</v>
      </c>
      <c r="C4956" s="15" t="s">
        <v>823</v>
      </c>
      <c r="D4956" s="12" t="str">
        <f>"0212-1611"</f>
        <v>0212-1611</v>
      </c>
      <c r="E4956" s="5">
        <v>1.0569999999999999</v>
      </c>
      <c r="F4956" s="5">
        <v>0.13600000000000001</v>
      </c>
    </row>
    <row r="4957" spans="2:6" x14ac:dyDescent="0.2">
      <c r="B4957" s="9" t="s">
        <v>11320</v>
      </c>
      <c r="C4957" s="15" t="s">
        <v>11321</v>
      </c>
      <c r="D4957" s="12" t="str">
        <f>"2072-6643"</f>
        <v>2072-6643</v>
      </c>
      <c r="E4957" s="5">
        <v>5.7169999999999996</v>
      </c>
      <c r="F4957" s="5">
        <v>0.81799999999999995</v>
      </c>
    </row>
    <row r="4958" spans="2:6" x14ac:dyDescent="0.2">
      <c r="B4958" s="9" t="s">
        <v>6301</v>
      </c>
      <c r="C4958" s="15" t="s">
        <v>6301</v>
      </c>
      <c r="D4958" s="12" t="str">
        <f>"0899-9007"</f>
        <v>0899-9007</v>
      </c>
      <c r="E4958" s="5">
        <v>4.008</v>
      </c>
      <c r="F4958" s="5">
        <v>0.54500000000000004</v>
      </c>
    </row>
    <row r="4959" spans="2:6" x14ac:dyDescent="0.2">
      <c r="B4959" s="9" t="s">
        <v>11322</v>
      </c>
      <c r="C4959" s="15" t="s">
        <v>11323</v>
      </c>
      <c r="D4959" s="12" t="str">
        <f>"1475-2891"</f>
        <v>1475-2891</v>
      </c>
      <c r="E4959" s="5">
        <v>3.2709999999999999</v>
      </c>
      <c r="F4959" s="5">
        <v>0.40899999999999997</v>
      </c>
    </row>
    <row r="4960" spans="2:6" x14ac:dyDescent="0.2">
      <c r="B4960" s="9" t="s">
        <v>824</v>
      </c>
      <c r="C4960" s="15" t="s">
        <v>825</v>
      </c>
      <c r="D4960" s="12" t="str">
        <f>"1743-7075"</f>
        <v>1743-7075</v>
      </c>
      <c r="E4960" s="5">
        <v>4.1689999999999996</v>
      </c>
      <c r="F4960" s="5">
        <v>0.61399999999999999</v>
      </c>
    </row>
    <row r="4961" spans="2:6" x14ac:dyDescent="0.2">
      <c r="B4961" s="9" t="s">
        <v>6296</v>
      </c>
      <c r="C4961" s="15" t="s">
        <v>2486</v>
      </c>
      <c r="D4961" s="12" t="str">
        <f>"0939-4753"</f>
        <v>0939-4753</v>
      </c>
      <c r="E4961" s="5">
        <v>4.2220000000000004</v>
      </c>
      <c r="F4961" s="5">
        <v>0.63600000000000001</v>
      </c>
    </row>
    <row r="4962" spans="2:6" x14ac:dyDescent="0.2">
      <c r="B4962" s="9" t="s">
        <v>6297</v>
      </c>
      <c r="C4962" s="15" t="s">
        <v>2487</v>
      </c>
      <c r="D4962" s="12" t="str">
        <f>"1028-415X"</f>
        <v>1028-415X</v>
      </c>
      <c r="E4962" s="5">
        <v>4.9939999999999998</v>
      </c>
      <c r="F4962" s="5">
        <v>0.72699999999999998</v>
      </c>
    </row>
    <row r="4963" spans="2:6" x14ac:dyDescent="0.2">
      <c r="B4963" s="9" t="s">
        <v>6298</v>
      </c>
      <c r="C4963" s="15" t="s">
        <v>2488</v>
      </c>
      <c r="D4963" s="12" t="str">
        <f>"0271-5317"</f>
        <v>0271-5317</v>
      </c>
      <c r="E4963" s="5">
        <v>3.3149999999999999</v>
      </c>
      <c r="F4963" s="5">
        <v>0.42</v>
      </c>
    </row>
    <row r="4964" spans="2:6" x14ac:dyDescent="0.2">
      <c r="B4964" s="9" t="s">
        <v>11324</v>
      </c>
      <c r="C4964" s="15" t="s">
        <v>11325</v>
      </c>
      <c r="D4964" s="12" t="str">
        <f>"1976-1457"</f>
        <v>1976-1457</v>
      </c>
      <c r="E4964" s="5">
        <v>1.9259999999999999</v>
      </c>
      <c r="F4964" s="5">
        <v>0.20499999999999999</v>
      </c>
    </row>
    <row r="4965" spans="2:6" x14ac:dyDescent="0.2">
      <c r="B4965" s="9" t="s">
        <v>6299</v>
      </c>
      <c r="C4965" s="15" t="s">
        <v>2489</v>
      </c>
      <c r="D4965" s="12" t="str">
        <f>"0954-4224"</f>
        <v>0954-4224</v>
      </c>
      <c r="E4965" s="5">
        <v>7.8</v>
      </c>
      <c r="F4965" s="5">
        <v>0.95499999999999996</v>
      </c>
    </row>
    <row r="4966" spans="2:6" x14ac:dyDescent="0.2">
      <c r="B4966" s="9" t="s">
        <v>6300</v>
      </c>
      <c r="C4966" s="15" t="s">
        <v>2490</v>
      </c>
      <c r="D4966" s="12" t="str">
        <f>"0029-6643"</f>
        <v>0029-6643</v>
      </c>
      <c r="E4966" s="5">
        <v>7.11</v>
      </c>
      <c r="F4966" s="5">
        <v>0.90900000000000003</v>
      </c>
    </row>
    <row r="4967" spans="2:6" x14ac:dyDescent="0.2">
      <c r="B4967" s="9" t="s">
        <v>6303</v>
      </c>
      <c r="C4967" s="15" t="s">
        <v>2492</v>
      </c>
      <c r="D4967" s="12" t="str">
        <f>"1930-7381"</f>
        <v>1930-7381</v>
      </c>
      <c r="E4967" s="5">
        <v>5.0019999999999998</v>
      </c>
      <c r="F4967" s="5">
        <v>0.73899999999999999</v>
      </c>
    </row>
    <row r="4968" spans="2:6" x14ac:dyDescent="0.2">
      <c r="B4968" s="9" t="s">
        <v>830</v>
      </c>
      <c r="C4968" s="15" t="s">
        <v>11326</v>
      </c>
      <c r="D4968" s="12" t="str">
        <f>"1662-4025"</f>
        <v>1662-4025</v>
      </c>
      <c r="E4968" s="5">
        <v>3.9420000000000002</v>
      </c>
      <c r="F4968" s="5">
        <v>0.53400000000000003</v>
      </c>
    </row>
    <row r="4969" spans="2:6" x14ac:dyDescent="0.2">
      <c r="B4969" s="9" t="s">
        <v>826</v>
      </c>
      <c r="C4969" s="15" t="s">
        <v>827</v>
      </c>
      <c r="D4969" s="12" t="str">
        <f>"1871-403X"</f>
        <v>1871-403X</v>
      </c>
      <c r="E4969" s="5">
        <v>2.2879999999999998</v>
      </c>
      <c r="F4969" s="5">
        <v>0.25</v>
      </c>
    </row>
    <row r="4970" spans="2:6" x14ac:dyDescent="0.2">
      <c r="B4970" s="9" t="s">
        <v>828</v>
      </c>
      <c r="C4970" s="15" t="s">
        <v>829</v>
      </c>
      <c r="D4970" s="12" t="str">
        <f>"1467-7881"</f>
        <v>1467-7881</v>
      </c>
      <c r="E4970" s="5">
        <v>9.2129999999999992</v>
      </c>
      <c r="F4970" s="5">
        <v>0.92400000000000004</v>
      </c>
    </row>
    <row r="4971" spans="2:6" x14ac:dyDescent="0.2">
      <c r="B4971" s="9" t="s">
        <v>6302</v>
      </c>
      <c r="C4971" s="15" t="s">
        <v>2491</v>
      </c>
      <c r="D4971" s="12" t="str">
        <f>"0960-8923"</f>
        <v>0960-8923</v>
      </c>
      <c r="E4971" s="5">
        <v>4.1289999999999996</v>
      </c>
      <c r="F4971" s="5">
        <v>0.81</v>
      </c>
    </row>
    <row r="4972" spans="2:6" x14ac:dyDescent="0.2">
      <c r="B4972" s="9" t="s">
        <v>6304</v>
      </c>
      <c r="C4972" s="15" t="s">
        <v>2493</v>
      </c>
      <c r="D4972" s="12" t="str">
        <f>"0889-8545"</f>
        <v>0889-8545</v>
      </c>
      <c r="E4972" s="5">
        <v>2.8439999999999999</v>
      </c>
      <c r="F4972" s="5">
        <v>0.53</v>
      </c>
    </row>
    <row r="4973" spans="2:6" x14ac:dyDescent="0.2">
      <c r="B4973" s="9" t="s">
        <v>6305</v>
      </c>
      <c r="C4973" s="15" t="s">
        <v>2494</v>
      </c>
      <c r="D4973" s="12" t="str">
        <f>"0029-7844"</f>
        <v>0029-7844</v>
      </c>
      <c r="E4973" s="5">
        <v>7.6609999999999996</v>
      </c>
      <c r="F4973" s="5">
        <v>0.97599999999999998</v>
      </c>
    </row>
    <row r="4974" spans="2:6" x14ac:dyDescent="0.2">
      <c r="B4974" s="9" t="s">
        <v>6306</v>
      </c>
      <c r="C4974" s="15" t="s">
        <v>2495</v>
      </c>
      <c r="D4974" s="12" t="str">
        <f>"0029-7828"</f>
        <v>0029-7828</v>
      </c>
      <c r="E4974" s="5">
        <v>2.347</v>
      </c>
      <c r="F4974" s="5">
        <v>0.38600000000000001</v>
      </c>
    </row>
    <row r="4975" spans="2:6" x14ac:dyDescent="0.2">
      <c r="B4975" s="9" t="s">
        <v>6307</v>
      </c>
      <c r="C4975" s="15" t="s">
        <v>2496</v>
      </c>
      <c r="D4975" s="12" t="str">
        <f>"1351-0711"</f>
        <v>1351-0711</v>
      </c>
      <c r="E4975" s="5">
        <v>4.4020000000000001</v>
      </c>
      <c r="F4975" s="5">
        <v>0.83599999999999997</v>
      </c>
    </row>
    <row r="4976" spans="2:6" x14ac:dyDescent="0.2">
      <c r="B4976" s="9" t="s">
        <v>6308</v>
      </c>
      <c r="C4976" s="15" t="s">
        <v>2497</v>
      </c>
      <c r="D4976" s="12" t="str">
        <f>"0962-7480"</f>
        <v>0962-7480</v>
      </c>
      <c r="E4976" s="5">
        <v>1.611</v>
      </c>
      <c r="F4976" s="5">
        <v>0.23200000000000001</v>
      </c>
    </row>
    <row r="4977" spans="2:6" x14ac:dyDescent="0.2">
      <c r="B4977" s="9" t="s">
        <v>11327</v>
      </c>
      <c r="C4977" s="15" t="s">
        <v>11328</v>
      </c>
      <c r="D4977" s="12" t="str">
        <f>"0966-7903"</f>
        <v>0966-7903</v>
      </c>
      <c r="E4977" s="5">
        <v>1.448</v>
      </c>
      <c r="F4977" s="5">
        <v>0.16</v>
      </c>
    </row>
    <row r="4978" spans="2:6" x14ac:dyDescent="0.2">
      <c r="B4978" s="9" t="s">
        <v>6309</v>
      </c>
      <c r="C4978" s="15" t="s">
        <v>2498</v>
      </c>
      <c r="D4978" s="12" t="str">
        <f>"0927-3948"</f>
        <v>0927-3948</v>
      </c>
      <c r="E4978" s="5">
        <v>3.07</v>
      </c>
      <c r="F4978" s="5">
        <v>0.59699999999999998</v>
      </c>
    </row>
    <row r="4979" spans="2:6" x14ac:dyDescent="0.2">
      <c r="B4979" s="9" t="s">
        <v>831</v>
      </c>
      <c r="C4979" s="15" t="s">
        <v>832</v>
      </c>
      <c r="D4979" s="12" t="str">
        <f>"1542-0124"</f>
        <v>1542-0124</v>
      </c>
      <c r="E4979" s="5">
        <v>5.0330000000000004</v>
      </c>
      <c r="F4979" s="5">
        <v>0.90300000000000002</v>
      </c>
    </row>
    <row r="4980" spans="2:6" x14ac:dyDescent="0.2">
      <c r="B4980" s="9" t="s">
        <v>833</v>
      </c>
      <c r="C4980" s="15" t="s">
        <v>834</v>
      </c>
      <c r="D4980" s="12" t="str">
        <f>"1618-1247"</f>
        <v>1618-1247</v>
      </c>
      <c r="E4980" s="5">
        <v>2.6339999999999999</v>
      </c>
      <c r="F4980" s="5">
        <v>0.57099999999999995</v>
      </c>
    </row>
    <row r="4981" spans="2:6" x14ac:dyDescent="0.2">
      <c r="B4981" s="9" t="s">
        <v>835</v>
      </c>
      <c r="C4981" s="15" t="s">
        <v>836</v>
      </c>
      <c r="D4981" s="12" t="str">
        <f>"0030-2228"</f>
        <v>0030-2228</v>
      </c>
      <c r="E4981" s="5">
        <v>2.8540000000000001</v>
      </c>
      <c r="F4981" s="5">
        <v>0.72699999999999998</v>
      </c>
    </row>
    <row r="4982" spans="2:6" x14ac:dyDescent="0.2">
      <c r="B4982" s="9" t="s">
        <v>7104</v>
      </c>
      <c r="C4982" s="15" t="s">
        <v>2499</v>
      </c>
      <c r="D4982" s="12" t="str">
        <f>"1536-2310"</f>
        <v>1536-2310</v>
      </c>
      <c r="E4982" s="5">
        <v>3.3740000000000001</v>
      </c>
      <c r="F4982" s="5">
        <v>0.56299999999999994</v>
      </c>
    </row>
    <row r="4983" spans="2:6" x14ac:dyDescent="0.2">
      <c r="B4983" s="9" t="s">
        <v>7105</v>
      </c>
      <c r="C4983" s="15" t="s">
        <v>7105</v>
      </c>
      <c r="D4983" s="12" t="str">
        <f>"0950-9232"</f>
        <v>0950-9232</v>
      </c>
      <c r="E4983" s="5">
        <v>9.8670000000000009</v>
      </c>
      <c r="F4983" s="5">
        <v>0.93700000000000006</v>
      </c>
    </row>
    <row r="4984" spans="2:6" x14ac:dyDescent="0.2">
      <c r="B4984" s="9" t="s">
        <v>11329</v>
      </c>
      <c r="C4984" s="15" t="s">
        <v>11330</v>
      </c>
      <c r="D4984" s="12" t="str">
        <f>"2157-9024"</f>
        <v>2157-9024</v>
      </c>
      <c r="E4984" s="5">
        <v>7.4850000000000003</v>
      </c>
      <c r="F4984" s="5">
        <v>0.83799999999999997</v>
      </c>
    </row>
    <row r="4985" spans="2:6" x14ac:dyDescent="0.2">
      <c r="B4985" s="9" t="s">
        <v>11331</v>
      </c>
      <c r="C4985" s="15" t="s">
        <v>11332</v>
      </c>
      <c r="D4985" s="12" t="str">
        <f>"2162-402X"</f>
        <v>2162-402X</v>
      </c>
      <c r="E4985" s="5">
        <v>8.11</v>
      </c>
      <c r="F4985" s="5">
        <v>0.86399999999999999</v>
      </c>
    </row>
    <row r="4986" spans="2:6" x14ac:dyDescent="0.2">
      <c r="B4986" s="9" t="s">
        <v>11333</v>
      </c>
      <c r="C4986" s="15" t="s">
        <v>11334</v>
      </c>
      <c r="D4986" s="12" t="str">
        <f>"1792-1074"</f>
        <v>1792-1074</v>
      </c>
      <c r="E4986" s="5">
        <v>2.9670000000000001</v>
      </c>
      <c r="F4986" s="5">
        <v>0.24099999999999999</v>
      </c>
    </row>
    <row r="4987" spans="2:6" x14ac:dyDescent="0.2">
      <c r="B4987" s="9" t="s">
        <v>7106</v>
      </c>
      <c r="C4987" s="15" t="s">
        <v>2500</v>
      </c>
      <c r="D4987" s="12" t="str">
        <f>"0190-535X"</f>
        <v>0190-535X</v>
      </c>
      <c r="E4987" s="5">
        <v>2.1720000000000002</v>
      </c>
      <c r="F4987" s="5">
        <v>0.627</v>
      </c>
    </row>
    <row r="4988" spans="2:6" x14ac:dyDescent="0.2">
      <c r="B4988" s="9" t="s">
        <v>837</v>
      </c>
      <c r="C4988" s="15" t="s">
        <v>11335</v>
      </c>
      <c r="D4988" s="12" t="str">
        <f>"1292-3818"</f>
        <v>1292-3818</v>
      </c>
      <c r="E4988" s="5">
        <v>0.33300000000000002</v>
      </c>
      <c r="F4988" s="5">
        <v>2.1000000000000001E-2</v>
      </c>
    </row>
    <row r="4989" spans="2:6" x14ac:dyDescent="0.2">
      <c r="B4989" s="9" t="s">
        <v>7109</v>
      </c>
      <c r="C4989" s="15" t="s">
        <v>2503</v>
      </c>
      <c r="D4989" s="12" t="str">
        <f>"0030-2414"</f>
        <v>0030-2414</v>
      </c>
      <c r="E4989" s="5">
        <v>2.9350000000000001</v>
      </c>
      <c r="F4989" s="5">
        <v>0.22800000000000001</v>
      </c>
    </row>
    <row r="4990" spans="2:6" x14ac:dyDescent="0.2">
      <c r="B4990" s="9" t="s">
        <v>7110</v>
      </c>
      <c r="C4990" s="15" t="s">
        <v>2504</v>
      </c>
      <c r="D4990" s="12" t="str">
        <f>"0890-9091"</f>
        <v>0890-9091</v>
      </c>
      <c r="E4990" s="5">
        <v>2.99</v>
      </c>
      <c r="F4990" s="5">
        <v>0.249</v>
      </c>
    </row>
    <row r="4991" spans="2:6" x14ac:dyDescent="0.2">
      <c r="B4991" s="9" t="s">
        <v>7107</v>
      </c>
      <c r="C4991" s="15" t="s">
        <v>2501</v>
      </c>
      <c r="D4991" s="12" t="str">
        <f>"1021-335X"</f>
        <v>1021-335X</v>
      </c>
      <c r="E4991" s="5">
        <v>3.9060000000000001</v>
      </c>
      <c r="F4991" s="5">
        <v>0.45200000000000001</v>
      </c>
    </row>
    <row r="4992" spans="2:6" x14ac:dyDescent="0.2">
      <c r="B4992" s="9" t="s">
        <v>7108</v>
      </c>
      <c r="C4992" s="15" t="s">
        <v>2502</v>
      </c>
      <c r="D4992" s="12" t="str">
        <f>"0965-0407"</f>
        <v>0965-0407</v>
      </c>
      <c r="E4992" s="5">
        <v>5.5739999999999998</v>
      </c>
      <c r="F4992" s="5">
        <v>0.68899999999999995</v>
      </c>
    </row>
    <row r="4993" spans="2:6" x14ac:dyDescent="0.2">
      <c r="B4993" s="9" t="s">
        <v>11336</v>
      </c>
      <c r="C4993" s="15" t="s">
        <v>11337</v>
      </c>
      <c r="D4993" s="12" t="str">
        <f>"2296-5270"</f>
        <v>2296-5270</v>
      </c>
      <c r="E4993" s="5">
        <v>2.8250000000000002</v>
      </c>
      <c r="F4993" s="5">
        <v>0.19900000000000001</v>
      </c>
    </row>
    <row r="4994" spans="2:6" x14ac:dyDescent="0.2">
      <c r="B4994" s="9" t="s">
        <v>11338</v>
      </c>
      <c r="C4994" s="15" t="s">
        <v>11339</v>
      </c>
      <c r="D4994" s="12" t="str">
        <f>"1178-6930"</f>
        <v>1178-6930</v>
      </c>
      <c r="E4994" s="5">
        <v>4.1470000000000002</v>
      </c>
      <c r="F4994" s="5">
        <v>0.67700000000000005</v>
      </c>
    </row>
    <row r="4995" spans="2:6" x14ac:dyDescent="0.2">
      <c r="B4995" s="9" t="s">
        <v>7111</v>
      </c>
      <c r="C4995" s="15" t="s">
        <v>2505</v>
      </c>
      <c r="D4995" s="12" t="str">
        <f>"0030-2465"</f>
        <v>0030-2465</v>
      </c>
      <c r="E4995" s="5">
        <v>1.792</v>
      </c>
      <c r="F4995" s="5">
        <v>0.64400000000000002</v>
      </c>
    </row>
    <row r="4996" spans="2:6" x14ac:dyDescent="0.2">
      <c r="B4996" s="9" t="s">
        <v>11340</v>
      </c>
      <c r="C4996" s="15" t="s">
        <v>11341</v>
      </c>
      <c r="D4996" s="12" t="str">
        <f>"2352-7714"</f>
        <v>2352-7714</v>
      </c>
      <c r="E4996" s="5">
        <v>3.8</v>
      </c>
      <c r="F4996" s="5">
        <v>0.77500000000000002</v>
      </c>
    </row>
    <row r="4997" spans="2:6" x14ac:dyDescent="0.2">
      <c r="B4997" s="9" t="s">
        <v>838</v>
      </c>
      <c r="C4997" s="15" t="s">
        <v>11342</v>
      </c>
      <c r="D4997" s="12" t="str">
        <f>"0947-8965"</f>
        <v>0947-8965</v>
      </c>
      <c r="E4997" s="5">
        <v>0.23400000000000001</v>
      </c>
      <c r="F4997" s="5">
        <v>1.7000000000000001E-2</v>
      </c>
    </row>
    <row r="4998" spans="2:6" x14ac:dyDescent="0.2">
      <c r="B4998" s="9" t="s">
        <v>839</v>
      </c>
      <c r="C4998" s="15" t="s">
        <v>840</v>
      </c>
      <c r="D4998" s="12" t="str">
        <f>"1468-4527"</f>
        <v>1468-4527</v>
      </c>
      <c r="E4998" s="5">
        <v>2.3250000000000002</v>
      </c>
      <c r="F4998" s="5">
        <v>0.50600000000000001</v>
      </c>
    </row>
    <row r="4999" spans="2:6" x14ac:dyDescent="0.2">
      <c r="B4999" s="9" t="s">
        <v>11343</v>
      </c>
      <c r="C4999" s="15" t="s">
        <v>11344</v>
      </c>
      <c r="D4999" s="12" t="str">
        <f>"2046-2441"</f>
        <v>2046-2441</v>
      </c>
      <c r="E4999" s="5">
        <v>6.4109999999999996</v>
      </c>
      <c r="F4999" s="5">
        <v>0.80700000000000005</v>
      </c>
    </row>
    <row r="5000" spans="2:6" x14ac:dyDescent="0.2">
      <c r="B5000" s="9" t="s">
        <v>11345</v>
      </c>
      <c r="C5000" s="15" t="s">
        <v>11346</v>
      </c>
      <c r="D5000" s="12" t="str">
        <f>"2391-5420"</f>
        <v>2391-5420</v>
      </c>
      <c r="E5000" s="5">
        <v>1.554</v>
      </c>
      <c r="F5000" s="5">
        <v>0.26400000000000001</v>
      </c>
    </row>
    <row r="5001" spans="2:6" x14ac:dyDescent="0.2">
      <c r="B5001" s="9" t="s">
        <v>11347</v>
      </c>
      <c r="C5001" s="15" t="s">
        <v>11348</v>
      </c>
      <c r="D5001" s="12" t="str">
        <f>"2328-8957"</f>
        <v>2328-8957</v>
      </c>
      <c r="E5001" s="5">
        <v>3.835</v>
      </c>
      <c r="F5001" s="5">
        <v>0.60899999999999999</v>
      </c>
    </row>
    <row r="5002" spans="2:6" x14ac:dyDescent="0.2">
      <c r="B5002" s="9" t="s">
        <v>11349</v>
      </c>
      <c r="C5002" s="15" t="s">
        <v>11350</v>
      </c>
      <c r="D5002" s="12" t="str">
        <f>"2391-5412"</f>
        <v>2391-5412</v>
      </c>
      <c r="E5002" s="5">
        <v>0.93799999999999994</v>
      </c>
      <c r="F5002" s="5">
        <v>0.17199999999999999</v>
      </c>
    </row>
    <row r="5003" spans="2:6" x14ac:dyDescent="0.2">
      <c r="B5003" s="9" t="s">
        <v>11351</v>
      </c>
      <c r="C5003" s="15" t="s">
        <v>11352</v>
      </c>
      <c r="D5003" s="12" t="str">
        <f>"2391-5463"</f>
        <v>2391-5463</v>
      </c>
      <c r="E5003" s="5">
        <v>2.1989999999999998</v>
      </c>
      <c r="F5003" s="5">
        <v>0.46100000000000002</v>
      </c>
    </row>
    <row r="5004" spans="2:6" x14ac:dyDescent="0.2">
      <c r="B5004" s="9" t="s">
        <v>7112</v>
      </c>
      <c r="C5004" s="15" t="s">
        <v>2506</v>
      </c>
      <c r="D5004" s="12" t="str">
        <f>"1230-1612"</f>
        <v>1230-1612</v>
      </c>
      <c r="E5004" s="5">
        <v>0.97699999999999998</v>
      </c>
      <c r="F5004" s="5">
        <v>0.27300000000000002</v>
      </c>
    </row>
    <row r="5005" spans="2:6" x14ac:dyDescent="0.2">
      <c r="B5005" s="9" t="s">
        <v>7113</v>
      </c>
      <c r="C5005" s="15" t="s">
        <v>2507</v>
      </c>
      <c r="D5005" s="12" t="str">
        <f>"0361-7734"</f>
        <v>0361-7734</v>
      </c>
      <c r="E5005" s="5">
        <v>2.44</v>
      </c>
      <c r="F5005" s="5">
        <v>0.48399999999999999</v>
      </c>
    </row>
    <row r="5006" spans="2:6" x14ac:dyDescent="0.2">
      <c r="B5006" s="9" t="s">
        <v>11353</v>
      </c>
      <c r="C5006" s="15" t="s">
        <v>11354</v>
      </c>
      <c r="D5006" s="12" t="str">
        <f>"2332-4252"</f>
        <v>2332-4252</v>
      </c>
      <c r="E5006" s="5">
        <v>2.7029999999999998</v>
      </c>
      <c r="F5006" s="5">
        <v>0.56699999999999995</v>
      </c>
    </row>
    <row r="5007" spans="2:6" x14ac:dyDescent="0.2">
      <c r="B5007" s="9" t="s">
        <v>11355</v>
      </c>
      <c r="C5007" s="15" t="s">
        <v>11356</v>
      </c>
      <c r="D5007" s="12" t="str">
        <f>"0934-6694"</f>
        <v>0934-6694</v>
      </c>
      <c r="E5007" s="5">
        <v>1.1539999999999999</v>
      </c>
      <c r="F5007" s="5">
        <v>0.16</v>
      </c>
    </row>
    <row r="5008" spans="2:6" x14ac:dyDescent="0.2">
      <c r="B5008" s="9" t="s">
        <v>7114</v>
      </c>
      <c r="C5008" s="15" t="s">
        <v>2508</v>
      </c>
      <c r="D5008" s="12" t="str">
        <f>"1060-1872"</f>
        <v>1060-1872</v>
      </c>
      <c r="E5008" s="5">
        <v>0.28000000000000003</v>
      </c>
      <c r="F5008" s="5">
        <v>1.0999999999999999E-2</v>
      </c>
    </row>
    <row r="5009" spans="2:6" x14ac:dyDescent="0.2">
      <c r="B5009" s="9" t="s">
        <v>7115</v>
      </c>
      <c r="C5009" s="15" t="s">
        <v>2509</v>
      </c>
      <c r="D5009" s="12" t="str">
        <f>"0928-6586"</f>
        <v>0928-6586</v>
      </c>
      <c r="E5009" s="5">
        <v>1.6479999999999999</v>
      </c>
      <c r="F5009" s="5">
        <v>0.161</v>
      </c>
    </row>
    <row r="5010" spans="2:6" x14ac:dyDescent="0.2">
      <c r="B5010" s="9" t="s">
        <v>841</v>
      </c>
      <c r="C5010" s="15" t="s">
        <v>842</v>
      </c>
      <c r="D5010" s="12" t="str">
        <f>"1381-6810"</f>
        <v>1381-6810</v>
      </c>
      <c r="E5010" s="5">
        <v>1.8029999999999999</v>
      </c>
      <c r="F5010" s="5">
        <v>0.21</v>
      </c>
    </row>
    <row r="5011" spans="2:6" x14ac:dyDescent="0.2">
      <c r="B5011" s="9" t="s">
        <v>11357</v>
      </c>
      <c r="C5011" s="15" t="s">
        <v>2512</v>
      </c>
      <c r="D5011" s="12" t="str">
        <f>"0030-3747"</f>
        <v>0030-3747</v>
      </c>
      <c r="E5011" s="5">
        <v>2.8919999999999999</v>
      </c>
      <c r="F5011" s="5">
        <v>0.56499999999999995</v>
      </c>
    </row>
    <row r="5012" spans="2:6" x14ac:dyDescent="0.2">
      <c r="B5012" s="9" t="s">
        <v>7118</v>
      </c>
      <c r="C5012" s="15" t="s">
        <v>7118</v>
      </c>
      <c r="D5012" s="12" t="str">
        <f>"0941-293X"</f>
        <v>0941-293X</v>
      </c>
      <c r="E5012" s="5">
        <v>1.0589999999999999</v>
      </c>
      <c r="F5012" s="5">
        <v>8.1000000000000003E-2</v>
      </c>
    </row>
    <row r="5013" spans="2:6" x14ac:dyDescent="0.2">
      <c r="B5013" s="9" t="s">
        <v>7119</v>
      </c>
      <c r="C5013" s="15" t="s">
        <v>7119</v>
      </c>
      <c r="D5013" s="12" t="str">
        <f>"0030-3755"</f>
        <v>0030-3755</v>
      </c>
      <c r="E5013" s="5">
        <v>3.25</v>
      </c>
      <c r="F5013" s="5">
        <v>0.67700000000000005</v>
      </c>
    </row>
    <row r="5014" spans="2:6" x14ac:dyDescent="0.2">
      <c r="B5014" s="9" t="s">
        <v>5637</v>
      </c>
      <c r="C5014" s="15" t="s">
        <v>5637</v>
      </c>
      <c r="D5014" s="12" t="str">
        <f>"0161-6420"</f>
        <v>0161-6420</v>
      </c>
      <c r="E5014" s="5">
        <v>12.079000000000001</v>
      </c>
      <c r="F5014" s="5">
        <v>0.98399999999999999</v>
      </c>
    </row>
    <row r="5015" spans="2:6" x14ac:dyDescent="0.2">
      <c r="B5015" s="9" t="s">
        <v>11358</v>
      </c>
      <c r="C5015" s="15" t="s">
        <v>11359</v>
      </c>
      <c r="D5015" s="12" t="str">
        <f>"2193-8245"</f>
        <v>2193-8245</v>
      </c>
      <c r="E5015" s="5">
        <v>3.536</v>
      </c>
      <c r="F5015" s="5">
        <v>0.75800000000000001</v>
      </c>
    </row>
    <row r="5016" spans="2:6" x14ac:dyDescent="0.2">
      <c r="B5016" s="9" t="s">
        <v>7116</v>
      </c>
      <c r="C5016" s="15" t="s">
        <v>2510</v>
      </c>
      <c r="D5016" s="12" t="str">
        <f>"0275-5408"</f>
        <v>0275-5408</v>
      </c>
      <c r="E5016" s="5">
        <v>3.117</v>
      </c>
      <c r="F5016" s="5">
        <v>0.64500000000000002</v>
      </c>
    </row>
    <row r="5017" spans="2:6" x14ac:dyDescent="0.2">
      <c r="B5017" s="9" t="s">
        <v>7117</v>
      </c>
      <c r="C5017" s="15" t="s">
        <v>2511</v>
      </c>
      <c r="D5017" s="12" t="str">
        <f>"0740-9303"</f>
        <v>0740-9303</v>
      </c>
      <c r="E5017" s="5">
        <v>1.746</v>
      </c>
      <c r="F5017" s="5">
        <v>0.28100000000000003</v>
      </c>
    </row>
    <row r="5018" spans="2:6" x14ac:dyDescent="0.2">
      <c r="B5018" s="9" t="s">
        <v>7120</v>
      </c>
      <c r="C5018" s="15" t="s">
        <v>2513</v>
      </c>
      <c r="D5018" s="12" t="str">
        <f>"0078-5466"</f>
        <v>0078-5466</v>
      </c>
      <c r="E5018" s="5">
        <v>0.51800000000000002</v>
      </c>
      <c r="F5018" s="5">
        <v>5.0999999999999997E-2</v>
      </c>
    </row>
    <row r="5019" spans="2:6" x14ac:dyDescent="0.2">
      <c r="B5019" s="9" t="s">
        <v>7121</v>
      </c>
      <c r="C5019" s="15" t="s">
        <v>2514</v>
      </c>
      <c r="D5019" s="12" t="str">
        <f>"0030-4018"</f>
        <v>0030-4018</v>
      </c>
      <c r="E5019" s="5">
        <v>2.31</v>
      </c>
      <c r="F5019" s="5">
        <v>0.495</v>
      </c>
    </row>
    <row r="5020" spans="2:6" x14ac:dyDescent="0.2">
      <c r="B5020" s="9" t="s">
        <v>7122</v>
      </c>
      <c r="C5020" s="15" t="s">
        <v>2515</v>
      </c>
      <c r="D5020" s="12" t="str">
        <f>"0091-3286"</f>
        <v>0091-3286</v>
      </c>
      <c r="E5020" s="5">
        <v>1.0840000000000001</v>
      </c>
      <c r="F5020" s="5">
        <v>0.17199999999999999</v>
      </c>
    </row>
    <row r="5021" spans="2:6" x14ac:dyDescent="0.2">
      <c r="B5021" s="9" t="s">
        <v>7123</v>
      </c>
      <c r="C5021" s="15" t="s">
        <v>2516</v>
      </c>
      <c r="D5021" s="12" t="str">
        <f>"1094-4087"</f>
        <v>1094-4087</v>
      </c>
      <c r="E5021" s="5">
        <v>3.8940000000000001</v>
      </c>
      <c r="F5021" s="5">
        <v>0.80800000000000005</v>
      </c>
    </row>
    <row r="5022" spans="2:6" x14ac:dyDescent="0.2">
      <c r="B5022" s="9" t="s">
        <v>7124</v>
      </c>
      <c r="C5022" s="15" t="s">
        <v>2517</v>
      </c>
      <c r="D5022" s="12" t="str">
        <f>"1068-5200"</f>
        <v>1068-5200</v>
      </c>
      <c r="E5022" s="5">
        <v>2.5299999999999998</v>
      </c>
      <c r="F5022" s="5">
        <v>0.60599999999999998</v>
      </c>
    </row>
    <row r="5023" spans="2:6" x14ac:dyDescent="0.2">
      <c r="B5023" s="9" t="s">
        <v>11360</v>
      </c>
      <c r="C5023" s="15" t="s">
        <v>11361</v>
      </c>
      <c r="D5023" s="12" t="str">
        <f>"2334-2536"</f>
        <v>2334-2536</v>
      </c>
      <c r="E5023" s="5">
        <v>11.103999999999999</v>
      </c>
      <c r="F5023" s="5">
        <v>0.94899999999999995</v>
      </c>
    </row>
    <row r="5024" spans="2:6" x14ac:dyDescent="0.2">
      <c r="B5024" s="9" t="s">
        <v>7207</v>
      </c>
      <c r="C5024" s="15" t="s">
        <v>7207</v>
      </c>
      <c r="D5024" s="12" t="str">
        <f>"0030-4026"</f>
        <v>0030-4026</v>
      </c>
      <c r="E5024" s="5">
        <v>2.4430000000000001</v>
      </c>
      <c r="F5024" s="5">
        <v>0.53500000000000003</v>
      </c>
    </row>
    <row r="5025" spans="2:6" x14ac:dyDescent="0.2">
      <c r="B5025" s="9" t="s">
        <v>7125</v>
      </c>
      <c r="C5025" s="15" t="s">
        <v>2518</v>
      </c>
      <c r="D5025" s="12" t="str">
        <f>"0143-8166"</f>
        <v>0143-8166</v>
      </c>
      <c r="E5025" s="5">
        <v>4.8360000000000003</v>
      </c>
      <c r="F5025" s="5">
        <v>0.879</v>
      </c>
    </row>
    <row r="5026" spans="2:6" x14ac:dyDescent="0.2">
      <c r="B5026" s="9" t="s">
        <v>7126</v>
      </c>
      <c r="C5026" s="15" t="s">
        <v>2519</v>
      </c>
      <c r="D5026" s="12" t="str">
        <f>"0030-3992"</f>
        <v>0030-3992</v>
      </c>
      <c r="E5026" s="5">
        <v>3.867</v>
      </c>
      <c r="F5026" s="5">
        <v>0.79800000000000004</v>
      </c>
    </row>
    <row r="5027" spans="2:6" x14ac:dyDescent="0.2">
      <c r="B5027" s="9" t="s">
        <v>7127</v>
      </c>
      <c r="C5027" s="15" t="s">
        <v>2520</v>
      </c>
      <c r="D5027" s="12" t="str">
        <f>"0146-9592"</f>
        <v>0146-9592</v>
      </c>
      <c r="E5027" s="5">
        <v>3.7759999999999998</v>
      </c>
      <c r="F5027" s="5">
        <v>0.78800000000000003</v>
      </c>
    </row>
    <row r="5028" spans="2:6" x14ac:dyDescent="0.2">
      <c r="B5028" s="9" t="s">
        <v>7128</v>
      </c>
      <c r="C5028" s="15" t="s">
        <v>2521</v>
      </c>
      <c r="D5028" s="12" t="str">
        <f>"0925-3467"</f>
        <v>0925-3467</v>
      </c>
      <c r="E5028" s="5">
        <v>3.08</v>
      </c>
      <c r="F5028" s="5">
        <v>0.68700000000000006</v>
      </c>
    </row>
    <row r="5029" spans="2:6" x14ac:dyDescent="0.2">
      <c r="B5029" s="9" t="s">
        <v>11362</v>
      </c>
      <c r="C5029" s="15" t="s">
        <v>11363</v>
      </c>
      <c r="D5029" s="12" t="str">
        <f>"2159-3930"</f>
        <v>2159-3930</v>
      </c>
      <c r="E5029" s="5">
        <v>3.4420000000000002</v>
      </c>
      <c r="F5029" s="5">
        <v>0.747</v>
      </c>
    </row>
    <row r="5030" spans="2:6" x14ac:dyDescent="0.2">
      <c r="B5030" s="9" t="s">
        <v>11364</v>
      </c>
      <c r="C5030" s="15" t="s">
        <v>11365</v>
      </c>
      <c r="D5030" s="12" t="str">
        <f>"2096-4579"</f>
        <v>2096-4579</v>
      </c>
      <c r="E5030" s="5">
        <v>9.6359999999999992</v>
      </c>
      <c r="F5030" s="5">
        <v>0.92900000000000005</v>
      </c>
    </row>
    <row r="5031" spans="2:6" x14ac:dyDescent="0.2">
      <c r="B5031" s="9" t="s">
        <v>843</v>
      </c>
      <c r="C5031" s="15" t="s">
        <v>844</v>
      </c>
      <c r="D5031" s="12" t="str">
        <f>"1842-6573"</f>
        <v>1842-6573</v>
      </c>
      <c r="E5031" s="5">
        <v>0.441</v>
      </c>
      <c r="F5031" s="5">
        <v>0.04</v>
      </c>
    </row>
    <row r="5032" spans="2:6" x14ac:dyDescent="0.2">
      <c r="B5032" s="9" t="s">
        <v>7208</v>
      </c>
      <c r="C5032" s="15" t="s">
        <v>2525</v>
      </c>
      <c r="D5032" s="12" t="str">
        <f>"1230-3402"</f>
        <v>1230-3402</v>
      </c>
      <c r="E5032" s="5">
        <v>2.4889999999999999</v>
      </c>
      <c r="F5032" s="5">
        <v>0.57599999999999996</v>
      </c>
    </row>
    <row r="5033" spans="2:6" x14ac:dyDescent="0.2">
      <c r="B5033" s="9" t="s">
        <v>7209</v>
      </c>
      <c r="C5033" s="15" t="s">
        <v>2526</v>
      </c>
      <c r="D5033" s="12" t="str">
        <f>"1040-5488"</f>
        <v>1040-5488</v>
      </c>
      <c r="E5033" s="5">
        <v>1.9730000000000001</v>
      </c>
      <c r="F5033" s="5">
        <v>0.30599999999999999</v>
      </c>
    </row>
    <row r="5034" spans="2:6" x14ac:dyDescent="0.2">
      <c r="B5034" s="9" t="s">
        <v>7129</v>
      </c>
      <c r="C5034" s="15" t="s">
        <v>2522</v>
      </c>
      <c r="D5034" s="12" t="str">
        <f>"0306-8919"</f>
        <v>0306-8919</v>
      </c>
      <c r="E5034" s="5">
        <v>2.0840000000000001</v>
      </c>
      <c r="F5034" s="5">
        <v>0.434</v>
      </c>
    </row>
    <row r="5035" spans="2:6" x14ac:dyDescent="0.2">
      <c r="B5035" s="9" t="s">
        <v>7130</v>
      </c>
      <c r="C5035" s="15" t="s">
        <v>2523</v>
      </c>
      <c r="D5035" s="12" t="str">
        <f>"1340-6000"</f>
        <v>1340-6000</v>
      </c>
      <c r="E5035" s="5">
        <v>0.89</v>
      </c>
      <c r="F5035" s="5">
        <v>0.121</v>
      </c>
    </row>
    <row r="5036" spans="2:6" x14ac:dyDescent="0.2">
      <c r="B5036" s="9" t="s">
        <v>7206</v>
      </c>
      <c r="C5036" s="15" t="s">
        <v>2524</v>
      </c>
      <c r="D5036" s="12" t="str">
        <f>"0030-400X"</f>
        <v>0030-400X</v>
      </c>
      <c r="E5036" s="5">
        <v>0.89100000000000001</v>
      </c>
      <c r="F5036" s="5">
        <v>0.20899999999999999</v>
      </c>
    </row>
    <row r="5037" spans="2:6" x14ac:dyDescent="0.2">
      <c r="B5037" s="9" t="s">
        <v>11366</v>
      </c>
      <c r="C5037" s="15" t="s">
        <v>11367</v>
      </c>
      <c r="D5037" s="12" t="str">
        <f>"1573-4277"</f>
        <v>1573-4277</v>
      </c>
      <c r="E5037" s="5">
        <v>2.786</v>
      </c>
      <c r="F5037" s="5">
        <v>0.65700000000000003</v>
      </c>
    </row>
    <row r="5038" spans="2:6" x14ac:dyDescent="0.2">
      <c r="B5038" s="9" t="s">
        <v>7210</v>
      </c>
      <c r="C5038" s="15" t="s">
        <v>2527</v>
      </c>
      <c r="D5038" s="12" t="str">
        <f>"1354-523X"</f>
        <v>1354-523X</v>
      </c>
      <c r="E5038" s="5">
        <v>3.5110000000000001</v>
      </c>
      <c r="F5038" s="5">
        <v>0.75800000000000001</v>
      </c>
    </row>
    <row r="5039" spans="2:6" x14ac:dyDescent="0.2">
      <c r="B5039" s="9" t="s">
        <v>11368</v>
      </c>
      <c r="C5039" s="15" t="s">
        <v>11369</v>
      </c>
      <c r="D5039" s="12" t="str">
        <f>"1602-1622"</f>
        <v>1602-1622</v>
      </c>
      <c r="E5039" s="5">
        <v>1.256</v>
      </c>
      <c r="F5039" s="5">
        <v>5.5E-2</v>
      </c>
    </row>
    <row r="5040" spans="2:6" x14ac:dyDescent="0.2">
      <c r="B5040" s="9" t="s">
        <v>11370</v>
      </c>
      <c r="C5040" s="15" t="s">
        <v>11371</v>
      </c>
      <c r="D5040" s="12" t="str">
        <f>"1042-3699"</f>
        <v>1042-3699</v>
      </c>
      <c r="E5040" s="5">
        <v>2.802</v>
      </c>
      <c r="F5040" s="5">
        <v>0.64800000000000002</v>
      </c>
    </row>
    <row r="5041" spans="2:6" x14ac:dyDescent="0.2">
      <c r="B5041" s="9" t="s">
        <v>7211</v>
      </c>
      <c r="C5041" s="15" t="s">
        <v>2528</v>
      </c>
      <c r="D5041" s="12" t="str">
        <f>"1368-8375"</f>
        <v>1368-8375</v>
      </c>
      <c r="E5041" s="5">
        <v>5.3369999999999997</v>
      </c>
      <c r="F5041" s="5">
        <v>0.93400000000000005</v>
      </c>
    </row>
    <row r="5042" spans="2:6" x14ac:dyDescent="0.2">
      <c r="B5042" s="9" t="s">
        <v>11372</v>
      </c>
      <c r="C5042" s="15" t="s">
        <v>11373</v>
      </c>
      <c r="D5042" s="12" t="str">
        <f>"0911-6028"</f>
        <v>0911-6028</v>
      </c>
      <c r="E5042" s="5">
        <v>1.8520000000000001</v>
      </c>
      <c r="F5042" s="5">
        <v>0.24199999999999999</v>
      </c>
    </row>
    <row r="5043" spans="2:6" x14ac:dyDescent="0.2">
      <c r="B5043" s="9" t="s">
        <v>845</v>
      </c>
      <c r="C5043" s="15" t="s">
        <v>846</v>
      </c>
      <c r="D5043" s="12" t="str">
        <f>"0749-5978"</f>
        <v>0749-5978</v>
      </c>
      <c r="E5043" s="5">
        <v>4.9409999999999998</v>
      </c>
      <c r="F5043" s="5">
        <v>0.90600000000000003</v>
      </c>
    </row>
    <row r="5044" spans="2:6" x14ac:dyDescent="0.2">
      <c r="B5044" s="9" t="s">
        <v>847</v>
      </c>
      <c r="C5044" s="15" t="s">
        <v>848</v>
      </c>
      <c r="D5044" s="12" t="str">
        <f>"0090-2616"</f>
        <v>0090-2616</v>
      </c>
      <c r="E5044" s="5">
        <v>1.4259999999999999</v>
      </c>
      <c r="F5044" s="5">
        <v>0.16900000000000001</v>
      </c>
    </row>
    <row r="5045" spans="2:6" x14ac:dyDescent="0.2">
      <c r="B5045" s="9" t="s">
        <v>11374</v>
      </c>
      <c r="C5045" s="15" t="s">
        <v>11375</v>
      </c>
      <c r="D5045" s="12" t="str">
        <f>"1547-6278"</f>
        <v>1547-6278</v>
      </c>
      <c r="E5045" s="5">
        <v>2.5</v>
      </c>
      <c r="F5045" s="5">
        <v>0.51200000000000001</v>
      </c>
    </row>
    <row r="5046" spans="2:6" x14ac:dyDescent="0.2">
      <c r="B5046" s="9" t="s">
        <v>7216</v>
      </c>
      <c r="C5046" s="15" t="s">
        <v>7216</v>
      </c>
      <c r="D5046" s="12" t="str">
        <f>"0276-7333"</f>
        <v>0276-7333</v>
      </c>
      <c r="E5046" s="5">
        <v>3.8759999999999999</v>
      </c>
      <c r="F5046" s="5">
        <v>0.78900000000000003</v>
      </c>
    </row>
    <row r="5047" spans="2:6" x14ac:dyDescent="0.2">
      <c r="B5047" s="9" t="s">
        <v>11376</v>
      </c>
      <c r="C5047" s="15" t="s">
        <v>11377</v>
      </c>
      <c r="D5047" s="12" t="str">
        <f>"2041-3866"</f>
        <v>2041-3866</v>
      </c>
      <c r="E5047" s="5">
        <v>3.056</v>
      </c>
      <c r="F5047" s="5">
        <v>0.53</v>
      </c>
    </row>
    <row r="5048" spans="2:6" x14ac:dyDescent="0.2">
      <c r="B5048" s="9" t="s">
        <v>849</v>
      </c>
      <c r="C5048" s="15" t="s">
        <v>850</v>
      </c>
      <c r="D5048" s="12" t="str">
        <f>"1094-4281"</f>
        <v>1094-4281</v>
      </c>
      <c r="E5048" s="5">
        <v>9.391</v>
      </c>
      <c r="F5048" s="5">
        <v>0.95199999999999996</v>
      </c>
    </row>
    <row r="5049" spans="2:6" x14ac:dyDescent="0.2">
      <c r="B5049" s="9" t="s">
        <v>7212</v>
      </c>
      <c r="C5049" s="15" t="s">
        <v>2529</v>
      </c>
      <c r="D5049" s="12" t="str">
        <f>"1477-0520"</f>
        <v>1477-0520</v>
      </c>
      <c r="E5049" s="5">
        <v>3.8759999999999999</v>
      </c>
      <c r="F5049" s="5">
        <v>0.78900000000000003</v>
      </c>
    </row>
    <row r="5050" spans="2:6" x14ac:dyDescent="0.2">
      <c r="B5050" s="9" t="s">
        <v>11378</v>
      </c>
      <c r="C5050" s="15" t="s">
        <v>11379</v>
      </c>
      <c r="D5050" s="12" t="str">
        <f>"2052-4129"</f>
        <v>2052-4129</v>
      </c>
      <c r="E5050" s="5">
        <v>5.2809999999999997</v>
      </c>
      <c r="F5050" s="5">
        <v>0.877</v>
      </c>
    </row>
    <row r="5051" spans="2:6" x14ac:dyDescent="0.2">
      <c r="B5051" s="9" t="s">
        <v>7213</v>
      </c>
      <c r="C5051" s="15" t="s">
        <v>2530</v>
      </c>
      <c r="D5051" s="12" t="str">
        <f>"1523-7060"</f>
        <v>1523-7060</v>
      </c>
      <c r="E5051" s="5">
        <v>6.0049999999999999</v>
      </c>
      <c r="F5051" s="5">
        <v>0.91200000000000003</v>
      </c>
    </row>
    <row r="5052" spans="2:6" x14ac:dyDescent="0.2">
      <c r="B5052" s="9" t="s">
        <v>7214</v>
      </c>
      <c r="C5052" s="15" t="s">
        <v>2531</v>
      </c>
      <c r="D5052" s="12" t="str">
        <f>"0030-4948"</f>
        <v>0030-4948</v>
      </c>
      <c r="E5052" s="5">
        <v>1.6279999999999999</v>
      </c>
      <c r="F5052" s="5">
        <v>0.29799999999999999</v>
      </c>
    </row>
    <row r="5053" spans="2:6" x14ac:dyDescent="0.2">
      <c r="B5053" s="9" t="s">
        <v>7215</v>
      </c>
      <c r="C5053" s="15" t="s">
        <v>2532</v>
      </c>
      <c r="D5053" s="12" t="str">
        <f>"1083-6160"</f>
        <v>1083-6160</v>
      </c>
      <c r="E5053" s="5">
        <v>3.3170000000000002</v>
      </c>
      <c r="F5053" s="5">
        <v>0.66700000000000004</v>
      </c>
    </row>
    <row r="5054" spans="2:6" x14ac:dyDescent="0.2">
      <c r="B5054" s="9" t="s">
        <v>7217</v>
      </c>
      <c r="C5054" s="15" t="s">
        <v>851</v>
      </c>
      <c r="D5054" s="12" t="str">
        <f>"0169-6149"</f>
        <v>0169-6149</v>
      </c>
      <c r="E5054" s="5">
        <v>1.95</v>
      </c>
      <c r="F5054" s="5">
        <v>0.43</v>
      </c>
    </row>
    <row r="5055" spans="2:6" x14ac:dyDescent="0.2">
      <c r="B5055" s="9" t="s">
        <v>7218</v>
      </c>
      <c r="C5055" s="15" t="s">
        <v>11380</v>
      </c>
      <c r="D5055" s="12" t="str">
        <f>"0301-1569"</f>
        <v>0301-1569</v>
      </c>
      <c r="E5055" s="5">
        <v>1.538</v>
      </c>
      <c r="F5055" s="5">
        <v>0.25</v>
      </c>
    </row>
    <row r="5056" spans="2:6" x14ac:dyDescent="0.2">
      <c r="B5056" s="9" t="s">
        <v>852</v>
      </c>
      <c r="C5056" s="15" t="s">
        <v>853</v>
      </c>
      <c r="D5056" s="12" t="str">
        <f>"1750-1172"</f>
        <v>1750-1172</v>
      </c>
      <c r="E5056" s="5">
        <v>4.1230000000000002</v>
      </c>
      <c r="F5056" s="5">
        <v>0.64</v>
      </c>
    </row>
    <row r="5057" spans="2:6" x14ac:dyDescent="0.2">
      <c r="B5057" s="9" t="s">
        <v>11381</v>
      </c>
      <c r="C5057" s="15" t="s">
        <v>11382</v>
      </c>
      <c r="D5057" s="12" t="str">
        <f>"2212-4403"</f>
        <v>2212-4403</v>
      </c>
      <c r="E5057" s="5">
        <v>2.589</v>
      </c>
      <c r="F5057" s="5">
        <v>0.52700000000000002</v>
      </c>
    </row>
    <row r="5058" spans="2:6" x14ac:dyDescent="0.2">
      <c r="B5058" s="9" t="s">
        <v>854</v>
      </c>
      <c r="C5058" s="15" t="s">
        <v>855</v>
      </c>
      <c r="D5058" s="12" t="str">
        <f>"1601-6335"</f>
        <v>1601-6335</v>
      </c>
      <c r="E5058" s="5">
        <v>1.8260000000000001</v>
      </c>
      <c r="F5058" s="5">
        <v>0.22</v>
      </c>
    </row>
    <row r="5059" spans="2:6" x14ac:dyDescent="0.2">
      <c r="B5059" s="9" t="s">
        <v>7220</v>
      </c>
      <c r="C5059" s="15" t="s">
        <v>7220</v>
      </c>
      <c r="D5059" s="12" t="str">
        <f>"0085-4530"</f>
        <v>0085-4530</v>
      </c>
      <c r="E5059" s="5">
        <v>1.087</v>
      </c>
      <c r="F5059" s="5">
        <v>0.13600000000000001</v>
      </c>
    </row>
    <row r="5060" spans="2:6" x14ac:dyDescent="0.2">
      <c r="B5060" s="9" t="s">
        <v>7219</v>
      </c>
      <c r="C5060" s="15" t="s">
        <v>2533</v>
      </c>
      <c r="D5060" s="12" t="str">
        <f>"0030-5898"</f>
        <v>0030-5898</v>
      </c>
      <c r="E5060" s="5">
        <v>2.472</v>
      </c>
      <c r="F5060" s="5">
        <v>0.51900000000000002</v>
      </c>
    </row>
    <row r="5061" spans="2:6" x14ac:dyDescent="0.2">
      <c r="B5061" s="9" t="s">
        <v>5639</v>
      </c>
      <c r="C5061" s="15" t="s">
        <v>5639</v>
      </c>
      <c r="D5061" s="12" t="str">
        <f>"0147-7447"</f>
        <v>0147-7447</v>
      </c>
      <c r="E5061" s="5">
        <v>1.39</v>
      </c>
      <c r="F5061" s="5">
        <v>0.21</v>
      </c>
    </row>
    <row r="5062" spans="2:6" x14ac:dyDescent="0.2">
      <c r="B5062" s="9" t="s">
        <v>11383</v>
      </c>
      <c r="C5062" s="15" t="s">
        <v>11384</v>
      </c>
      <c r="D5062" s="12" t="str">
        <f>"2325-9671"</f>
        <v>2325-9671</v>
      </c>
      <c r="E5062" s="5">
        <v>2.7269999999999999</v>
      </c>
      <c r="F5062" s="5">
        <v>0.59299999999999997</v>
      </c>
    </row>
    <row r="5063" spans="2:6" x14ac:dyDescent="0.2">
      <c r="B5063" s="9" t="s">
        <v>856</v>
      </c>
      <c r="C5063" s="15" t="s">
        <v>857</v>
      </c>
      <c r="D5063" s="12" t="str">
        <f>"0744-6020"</f>
        <v>0744-6020</v>
      </c>
      <c r="E5063" s="5">
        <v>0.91300000000000003</v>
      </c>
      <c r="F5063" s="5">
        <v>8.6999999999999994E-2</v>
      </c>
    </row>
    <row r="5064" spans="2:6" x14ac:dyDescent="0.2">
      <c r="B5064" s="9" t="s">
        <v>11385</v>
      </c>
      <c r="C5064" s="15" t="s">
        <v>11386</v>
      </c>
      <c r="D5064" s="12" t="str">
        <f>"1757-7853"</f>
        <v>1757-7853</v>
      </c>
      <c r="E5064" s="5">
        <v>2.0710000000000002</v>
      </c>
      <c r="F5064" s="5">
        <v>0.38300000000000001</v>
      </c>
    </row>
    <row r="5065" spans="2:6" x14ac:dyDescent="0.2">
      <c r="B5065" s="9" t="s">
        <v>11387</v>
      </c>
      <c r="C5065" s="15" t="s">
        <v>11388</v>
      </c>
      <c r="D5065" s="12" t="str">
        <f>"1877-0568"</f>
        <v>1877-0568</v>
      </c>
      <c r="E5065" s="5">
        <v>2.2559999999999998</v>
      </c>
      <c r="F5065" s="5">
        <v>0.45700000000000002</v>
      </c>
    </row>
    <row r="5066" spans="2:6" x14ac:dyDescent="0.2">
      <c r="B5066" s="9" t="s">
        <v>11389</v>
      </c>
      <c r="C5066" s="15" t="s">
        <v>11389</v>
      </c>
      <c r="D5066" s="12" t="str">
        <f>"0030-6002"</f>
        <v>0030-6002</v>
      </c>
      <c r="E5066" s="5">
        <v>0.54</v>
      </c>
      <c r="F5066" s="5">
        <v>7.8E-2</v>
      </c>
    </row>
    <row r="5067" spans="2:6" x14ac:dyDescent="0.2">
      <c r="B5067" s="9" t="s">
        <v>7221</v>
      </c>
      <c r="C5067" s="15" t="s">
        <v>7221</v>
      </c>
      <c r="D5067" s="12" t="str">
        <f>"0369-7827"</f>
        <v>0369-7827</v>
      </c>
      <c r="E5067" s="5">
        <v>0.54800000000000004</v>
      </c>
      <c r="F5067" s="5">
        <v>0.27</v>
      </c>
    </row>
    <row r="5068" spans="2:6" x14ac:dyDescent="0.2">
      <c r="B5068" s="9" t="s">
        <v>11390</v>
      </c>
      <c r="C5068" s="15" t="s">
        <v>11391</v>
      </c>
      <c r="D5068" s="12" t="str">
        <f>"2325-8160"</f>
        <v>2325-8160</v>
      </c>
      <c r="E5068" s="5">
        <v>1.3</v>
      </c>
      <c r="F5068" s="5">
        <v>0.16700000000000001</v>
      </c>
    </row>
    <row r="5069" spans="2:6" x14ac:dyDescent="0.2">
      <c r="B5069" s="9" t="s">
        <v>7222</v>
      </c>
      <c r="C5069" s="15" t="s">
        <v>2534</v>
      </c>
      <c r="D5069" s="12" t="str">
        <f>"1063-4584"</f>
        <v>1063-4584</v>
      </c>
      <c r="E5069" s="5">
        <v>6.5759999999999996</v>
      </c>
      <c r="F5069" s="5">
        <v>0.98799999999999999</v>
      </c>
    </row>
    <row r="5070" spans="2:6" x14ac:dyDescent="0.2">
      <c r="B5070" s="9" t="s">
        <v>7223</v>
      </c>
      <c r="C5070" s="15" t="s">
        <v>2535</v>
      </c>
      <c r="D5070" s="12" t="str">
        <f>"0937-941X"</f>
        <v>0937-941X</v>
      </c>
      <c r="E5070" s="5">
        <v>4.5069999999999997</v>
      </c>
      <c r="F5070" s="5">
        <v>0.64100000000000001</v>
      </c>
    </row>
    <row r="5071" spans="2:6" x14ac:dyDescent="0.2">
      <c r="B5071" s="9" t="s">
        <v>858</v>
      </c>
      <c r="C5071" s="15" t="s">
        <v>859</v>
      </c>
      <c r="D5071" s="12" t="str">
        <f>"0889-5899"</f>
        <v>0889-5899</v>
      </c>
      <c r="E5071" s="5">
        <v>2.629</v>
      </c>
      <c r="F5071" s="5">
        <v>0.55700000000000005</v>
      </c>
    </row>
    <row r="5072" spans="2:6" x14ac:dyDescent="0.2">
      <c r="B5072" s="9" t="s">
        <v>860</v>
      </c>
      <c r="C5072" s="15" t="s">
        <v>861</v>
      </c>
      <c r="D5072" s="12" t="str">
        <f>"1539-4492"</f>
        <v>1539-4492</v>
      </c>
      <c r="E5072" s="5">
        <v>1.768</v>
      </c>
      <c r="F5072" s="5">
        <v>0.31900000000000001</v>
      </c>
    </row>
    <row r="5073" spans="2:6" x14ac:dyDescent="0.2">
      <c r="B5073" s="9" t="s">
        <v>7225</v>
      </c>
      <c r="C5073" s="15" t="s">
        <v>2537</v>
      </c>
      <c r="D5073" s="12" t="str">
        <f>"0030-6665"</f>
        <v>0030-6665</v>
      </c>
      <c r="E5073" s="5">
        <v>3.3460000000000001</v>
      </c>
      <c r="F5073" s="5">
        <v>0.84099999999999997</v>
      </c>
    </row>
    <row r="5074" spans="2:6" x14ac:dyDescent="0.2">
      <c r="B5074" s="9" t="s">
        <v>7226</v>
      </c>
      <c r="C5074" s="15" t="s">
        <v>2538</v>
      </c>
      <c r="D5074" s="12" t="str">
        <f>"0194-5998"</f>
        <v>0194-5998</v>
      </c>
      <c r="E5074" s="5">
        <v>3.4969999999999999</v>
      </c>
      <c r="F5074" s="5">
        <v>0.90900000000000003</v>
      </c>
    </row>
    <row r="5075" spans="2:6" x14ac:dyDescent="0.2">
      <c r="B5075" s="9" t="s">
        <v>7224</v>
      </c>
      <c r="C5075" s="15" t="s">
        <v>2536</v>
      </c>
      <c r="D5075" s="12" t="str">
        <f>"1531-7129"</f>
        <v>1531-7129</v>
      </c>
      <c r="E5075" s="5">
        <v>2.3109999999999999</v>
      </c>
      <c r="F5075" s="5">
        <v>0.56799999999999995</v>
      </c>
    </row>
    <row r="5076" spans="2:6" x14ac:dyDescent="0.2">
      <c r="B5076" s="9" t="s">
        <v>7227</v>
      </c>
      <c r="C5076" s="15" t="s">
        <v>2539</v>
      </c>
      <c r="D5076" s="12" t="str">
        <f>"0305-9049"</f>
        <v>0305-9049</v>
      </c>
      <c r="E5076" s="5">
        <v>1.7909999999999999</v>
      </c>
      <c r="F5076" s="5">
        <v>0.58399999999999996</v>
      </c>
    </row>
    <row r="5077" spans="2:6" x14ac:dyDescent="0.2">
      <c r="B5077" s="9" t="s">
        <v>862</v>
      </c>
      <c r="C5077" s="15" t="s">
        <v>863</v>
      </c>
      <c r="D5077" s="12" t="str">
        <f>"1942-0994"</f>
        <v>1942-0994</v>
      </c>
      <c r="E5077" s="5">
        <v>6.5430000000000001</v>
      </c>
      <c r="F5077" s="5">
        <v>0.72499999999999998</v>
      </c>
    </row>
    <row r="5078" spans="2:6" x14ac:dyDescent="0.2">
      <c r="B5078" s="9" t="s">
        <v>7507</v>
      </c>
      <c r="C5078" s="15" t="s">
        <v>2543</v>
      </c>
      <c r="D5078" s="12" t="str">
        <f>"0147-8389"</f>
        <v>0147-8389</v>
      </c>
      <c r="E5078" s="5">
        <v>1.976</v>
      </c>
      <c r="F5078" s="5">
        <v>0.26400000000000001</v>
      </c>
    </row>
    <row r="5079" spans="2:6" x14ac:dyDescent="0.2">
      <c r="B5079" s="9" t="s">
        <v>871</v>
      </c>
      <c r="C5079" s="15" t="s">
        <v>872</v>
      </c>
      <c r="D5079" s="12" t="str">
        <f>"1205-7088"</f>
        <v>1205-7088</v>
      </c>
      <c r="E5079" s="5">
        <v>2.2530000000000001</v>
      </c>
      <c r="F5079" s="5">
        <v>0.53500000000000003</v>
      </c>
    </row>
    <row r="5080" spans="2:6" x14ac:dyDescent="0.2">
      <c r="B5080" s="9" t="s">
        <v>11392</v>
      </c>
      <c r="C5080" s="15" t="s">
        <v>11393</v>
      </c>
      <c r="D5080" s="12" t="str">
        <f>"2046-9047"</f>
        <v>2046-9047</v>
      </c>
      <c r="E5080" s="5">
        <v>1.99</v>
      </c>
      <c r="F5080" s="5">
        <v>0.434</v>
      </c>
    </row>
    <row r="5081" spans="2:6" x14ac:dyDescent="0.2">
      <c r="B5081" s="9" t="s">
        <v>7508</v>
      </c>
      <c r="C5081" s="15" t="s">
        <v>2544</v>
      </c>
      <c r="D5081" s="12" t="str">
        <f>"0269-5022"</f>
        <v>0269-5022</v>
      </c>
      <c r="E5081" s="5">
        <v>3.98</v>
      </c>
      <c r="F5081" s="5">
        <v>0.89900000000000002</v>
      </c>
    </row>
    <row r="5082" spans="2:6" x14ac:dyDescent="0.2">
      <c r="B5082" s="9" t="s">
        <v>873</v>
      </c>
      <c r="C5082" s="15" t="s">
        <v>874</v>
      </c>
      <c r="D5082" s="12" t="str">
        <f>"1526-0542"</f>
        <v>1526-0542</v>
      </c>
      <c r="E5082" s="5">
        <v>2.726</v>
      </c>
      <c r="F5082" s="5">
        <v>0.65100000000000002</v>
      </c>
    </row>
    <row r="5083" spans="2:6" x14ac:dyDescent="0.2">
      <c r="B5083" s="9" t="s">
        <v>7509</v>
      </c>
      <c r="C5083" s="15" t="s">
        <v>7509</v>
      </c>
      <c r="D5083" s="12" t="str">
        <f>"0304-3959"</f>
        <v>0304-3959</v>
      </c>
      <c r="E5083" s="5">
        <v>6.9610000000000003</v>
      </c>
      <c r="F5083" s="5">
        <v>0.90900000000000003</v>
      </c>
    </row>
    <row r="5084" spans="2:6" x14ac:dyDescent="0.2">
      <c r="B5084" s="9" t="s">
        <v>875</v>
      </c>
      <c r="C5084" s="15" t="s">
        <v>876</v>
      </c>
      <c r="D5084" s="12" t="str">
        <f>"1524-9042"</f>
        <v>1524-9042</v>
      </c>
      <c r="E5084" s="5">
        <v>1.929</v>
      </c>
      <c r="F5084" s="5">
        <v>0.5</v>
      </c>
    </row>
    <row r="5085" spans="2:6" x14ac:dyDescent="0.2">
      <c r="B5085" s="9" t="s">
        <v>7510</v>
      </c>
      <c r="C5085" s="15" t="s">
        <v>2545</v>
      </c>
      <c r="D5085" s="12" t="str">
        <f>"1526-2375"</f>
        <v>1526-2375</v>
      </c>
      <c r="E5085" s="5">
        <v>3.75</v>
      </c>
      <c r="F5085" s="5">
        <v>0.749</v>
      </c>
    </row>
    <row r="5086" spans="2:6" x14ac:dyDescent="0.2">
      <c r="B5086" s="9" t="s">
        <v>11394</v>
      </c>
      <c r="C5086" s="15" t="s">
        <v>11395</v>
      </c>
      <c r="D5086" s="12" t="str">
        <f>"1533-3159"</f>
        <v>1533-3159</v>
      </c>
      <c r="E5086" s="5">
        <v>4.9649999999999999</v>
      </c>
      <c r="F5086" s="5">
        <v>0.76900000000000002</v>
      </c>
    </row>
    <row r="5087" spans="2:6" x14ac:dyDescent="0.2">
      <c r="B5087" s="9" t="s">
        <v>11396</v>
      </c>
      <c r="C5087" s="15" t="s">
        <v>11397</v>
      </c>
      <c r="D5087" s="12" t="str">
        <f>"1530-7085"</f>
        <v>1530-7085</v>
      </c>
      <c r="E5087" s="5">
        <v>3.1829999999999998</v>
      </c>
      <c r="F5087" s="5">
        <v>0.51500000000000001</v>
      </c>
    </row>
    <row r="5088" spans="2:6" x14ac:dyDescent="0.2">
      <c r="B5088" s="9" t="s">
        <v>11398</v>
      </c>
      <c r="C5088" s="15" t="s">
        <v>11399</v>
      </c>
      <c r="D5088" s="12" t="str">
        <f>"1918-1523"</f>
        <v>1918-1523</v>
      </c>
      <c r="E5088" s="5">
        <v>3.0369999999999999</v>
      </c>
      <c r="F5088" s="5">
        <v>0.42799999999999999</v>
      </c>
    </row>
    <row r="5089" spans="2:6" x14ac:dyDescent="0.2">
      <c r="B5089" s="9" t="s">
        <v>11400</v>
      </c>
      <c r="C5089" s="15" t="s">
        <v>11401</v>
      </c>
      <c r="D5089" s="12" t="str">
        <f>"2193-8237"</f>
        <v>2193-8237</v>
      </c>
      <c r="E5089" s="5">
        <v>5.7249999999999996</v>
      </c>
      <c r="F5089" s="5">
        <v>0.82699999999999996</v>
      </c>
    </row>
    <row r="5090" spans="2:6" x14ac:dyDescent="0.2">
      <c r="B5090" s="9" t="s">
        <v>877</v>
      </c>
      <c r="C5090" s="15" t="s">
        <v>878</v>
      </c>
      <c r="D5090" s="12" t="str">
        <f>"1682-024X"</f>
        <v>1682-024X</v>
      </c>
      <c r="E5090" s="5">
        <v>1.0880000000000001</v>
      </c>
      <c r="F5090" s="5">
        <v>0.216</v>
      </c>
    </row>
    <row r="5091" spans="2:6" x14ac:dyDescent="0.2">
      <c r="B5091" s="9" t="s">
        <v>879</v>
      </c>
      <c r="C5091" s="15" t="s">
        <v>880</v>
      </c>
      <c r="D5091" s="12" t="str">
        <f>"1011-601X"</f>
        <v>1011-601X</v>
      </c>
      <c r="E5091" s="5">
        <v>0.68400000000000005</v>
      </c>
      <c r="F5091" s="5">
        <v>3.3000000000000002E-2</v>
      </c>
    </row>
    <row r="5092" spans="2:6" x14ac:dyDescent="0.2">
      <c r="B5092" s="9" t="s">
        <v>11402</v>
      </c>
      <c r="C5092" s="15" t="s">
        <v>11403</v>
      </c>
      <c r="D5092" s="12" t="str">
        <f>"0253-8318"</f>
        <v>0253-8318</v>
      </c>
      <c r="E5092" s="5">
        <v>1.3180000000000001</v>
      </c>
      <c r="F5092" s="5">
        <v>0.438</v>
      </c>
    </row>
    <row r="5093" spans="2:6" x14ac:dyDescent="0.2">
      <c r="B5093" s="9" t="s">
        <v>7511</v>
      </c>
      <c r="C5093" s="15" t="s">
        <v>2546</v>
      </c>
      <c r="D5093" s="12" t="str">
        <f>"1477-030X"</f>
        <v>1477-030X</v>
      </c>
      <c r="E5093" s="5">
        <v>4.7619999999999996</v>
      </c>
      <c r="F5093" s="5">
        <v>0.85699999999999998</v>
      </c>
    </row>
    <row r="5094" spans="2:6" x14ac:dyDescent="0.2">
      <c r="B5094" s="9" t="s">
        <v>11404</v>
      </c>
      <c r="C5094" s="15" t="s">
        <v>11405</v>
      </c>
      <c r="D5094" s="12" t="str">
        <f>"1478-9515"</f>
        <v>1478-9515</v>
      </c>
      <c r="E5094" s="5">
        <v>2.2570000000000001</v>
      </c>
      <c r="F5094" s="5">
        <v>0.375</v>
      </c>
    </row>
    <row r="5095" spans="2:6" x14ac:dyDescent="0.2">
      <c r="B5095" s="9" t="s">
        <v>7512</v>
      </c>
      <c r="C5095" s="15" t="s">
        <v>7512</v>
      </c>
      <c r="D5095" s="12" t="str">
        <f>"0885-3177"</f>
        <v>0885-3177</v>
      </c>
      <c r="E5095" s="5">
        <v>3.327</v>
      </c>
      <c r="F5095" s="5">
        <v>0.34799999999999998</v>
      </c>
    </row>
    <row r="5096" spans="2:6" x14ac:dyDescent="0.2">
      <c r="B5096" s="9" t="s">
        <v>7513</v>
      </c>
      <c r="C5096" s="15" t="s">
        <v>7513</v>
      </c>
      <c r="D5096" s="12" t="str">
        <f>"1424-3903"</f>
        <v>1424-3903</v>
      </c>
      <c r="E5096" s="5">
        <v>3.996</v>
      </c>
      <c r="F5096" s="5">
        <v>0.51100000000000001</v>
      </c>
    </row>
    <row r="5097" spans="2:6" x14ac:dyDescent="0.2">
      <c r="B5097" s="9" t="s">
        <v>7514</v>
      </c>
      <c r="C5097" s="15" t="s">
        <v>2547</v>
      </c>
      <c r="D5097" s="12" t="str">
        <f>"1827-1898"</f>
        <v>1827-1898</v>
      </c>
      <c r="E5097" s="5">
        <v>5.1970000000000001</v>
      </c>
      <c r="F5097" s="5">
        <v>0.85599999999999998</v>
      </c>
    </row>
    <row r="5098" spans="2:6" x14ac:dyDescent="0.2">
      <c r="B5098" s="9" t="s">
        <v>11406</v>
      </c>
      <c r="C5098" s="15" t="s">
        <v>11407</v>
      </c>
      <c r="D5098" s="12" t="str">
        <f>"1405-7425"</f>
        <v>1405-7425</v>
      </c>
      <c r="E5098" s="5">
        <v>0.16900000000000001</v>
      </c>
      <c r="F5098" s="5">
        <v>3.4000000000000002E-2</v>
      </c>
    </row>
    <row r="5099" spans="2:6" x14ac:dyDescent="0.2">
      <c r="B5099" s="9" t="s">
        <v>7515</v>
      </c>
      <c r="C5099" s="15" t="s">
        <v>11408</v>
      </c>
      <c r="D5099" s="12" t="str">
        <f>"1776-1042"</f>
        <v>1776-1042</v>
      </c>
      <c r="E5099" s="5">
        <v>3</v>
      </c>
      <c r="F5099" s="5">
        <v>0.68400000000000005</v>
      </c>
    </row>
    <row r="5100" spans="2:6" x14ac:dyDescent="0.2">
      <c r="B5100" s="9" t="s">
        <v>7516</v>
      </c>
      <c r="C5100" s="15" t="s">
        <v>2548</v>
      </c>
      <c r="D5100" s="12" t="str">
        <f>"1365-3024"</f>
        <v>1365-3024</v>
      </c>
      <c r="E5100" s="5">
        <v>2.2799999999999998</v>
      </c>
      <c r="F5100" s="5">
        <v>0.5</v>
      </c>
    </row>
    <row r="5101" spans="2:6" x14ac:dyDescent="0.2">
      <c r="B5101" s="9" t="s">
        <v>881</v>
      </c>
      <c r="C5101" s="15" t="s">
        <v>882</v>
      </c>
      <c r="D5101" s="12" t="str">
        <f>"1756-3305"</f>
        <v>1756-3305</v>
      </c>
      <c r="E5101" s="5">
        <v>3.8759999999999999</v>
      </c>
      <c r="F5101" s="5">
        <v>0.91300000000000003</v>
      </c>
    </row>
    <row r="5102" spans="2:6" x14ac:dyDescent="0.2">
      <c r="B5102" s="9" t="s">
        <v>7517</v>
      </c>
      <c r="C5102" s="15" t="s">
        <v>2549</v>
      </c>
      <c r="D5102" s="12" t="str">
        <f>"1383-5769"</f>
        <v>1383-5769</v>
      </c>
      <c r="E5102" s="5">
        <v>2.23</v>
      </c>
      <c r="F5102" s="5">
        <v>0.47399999999999998</v>
      </c>
    </row>
    <row r="5103" spans="2:6" x14ac:dyDescent="0.2">
      <c r="B5103" s="9" t="s">
        <v>5644</v>
      </c>
      <c r="C5103" s="15" t="s">
        <v>5644</v>
      </c>
      <c r="D5103" s="12" t="str">
        <f>"0031-1820"</f>
        <v>0031-1820</v>
      </c>
      <c r="E5103" s="5">
        <v>3.234</v>
      </c>
      <c r="F5103" s="5">
        <v>0.73699999999999999</v>
      </c>
    </row>
    <row r="5104" spans="2:6" x14ac:dyDescent="0.2">
      <c r="B5104" s="9" t="s">
        <v>7518</v>
      </c>
      <c r="C5104" s="15" t="s">
        <v>2550</v>
      </c>
      <c r="D5104" s="12" t="str">
        <f>"0932-0113"</f>
        <v>0932-0113</v>
      </c>
      <c r="E5104" s="5">
        <v>2.2890000000000001</v>
      </c>
      <c r="F5104" s="5">
        <v>0.52600000000000002</v>
      </c>
    </row>
    <row r="5105" spans="2:6" x14ac:dyDescent="0.2">
      <c r="B5105" s="9" t="s">
        <v>11409</v>
      </c>
      <c r="C5105" s="15" t="s">
        <v>11410</v>
      </c>
      <c r="D5105" s="12" t="str">
        <f>"1529-5192"</f>
        <v>1529-5192</v>
      </c>
      <c r="E5105" s="5">
        <v>1.2649999999999999</v>
      </c>
      <c r="F5105" s="5">
        <v>0.26100000000000001</v>
      </c>
    </row>
    <row r="5106" spans="2:6" x14ac:dyDescent="0.2">
      <c r="B5106" s="9" t="s">
        <v>7519</v>
      </c>
      <c r="C5106" s="15" t="s">
        <v>2551</v>
      </c>
      <c r="D5106" s="12" t="str">
        <f>"1353-8020"</f>
        <v>1353-8020</v>
      </c>
      <c r="E5106" s="5">
        <v>4.891</v>
      </c>
      <c r="F5106" s="5">
        <v>0.76</v>
      </c>
    </row>
    <row r="5107" spans="2:6" x14ac:dyDescent="0.2">
      <c r="B5107" s="9" t="s">
        <v>11411</v>
      </c>
      <c r="C5107" s="15" t="s">
        <v>11412</v>
      </c>
      <c r="D5107" s="12" t="str">
        <f>"2090-8083"</f>
        <v>2090-8083</v>
      </c>
      <c r="E5107" s="5">
        <v>2.7040000000000002</v>
      </c>
      <c r="F5107" s="5">
        <v>0.35599999999999998</v>
      </c>
    </row>
    <row r="5108" spans="2:6" x14ac:dyDescent="0.2">
      <c r="B5108" s="9" t="s">
        <v>11413</v>
      </c>
      <c r="C5108" s="15" t="s">
        <v>11414</v>
      </c>
      <c r="D5108" s="12" t="str">
        <f>"1743-8977"</f>
        <v>1743-8977</v>
      </c>
      <c r="E5108" s="5">
        <v>9.4</v>
      </c>
      <c r="F5108" s="5">
        <v>0.97799999999999998</v>
      </c>
    </row>
    <row r="5109" spans="2:6" x14ac:dyDescent="0.2">
      <c r="B5109" s="9" t="s">
        <v>7520</v>
      </c>
      <c r="C5109" s="15" t="s">
        <v>7520</v>
      </c>
      <c r="D5109" s="12" t="str">
        <f>"1015-2008"</f>
        <v>1015-2008</v>
      </c>
      <c r="E5109" s="5">
        <v>4.3419999999999996</v>
      </c>
      <c r="F5109" s="5">
        <v>0.753</v>
      </c>
    </row>
    <row r="5110" spans="2:6" x14ac:dyDescent="0.2">
      <c r="B5110" s="9" t="s">
        <v>11415</v>
      </c>
      <c r="C5110" s="15" t="s">
        <v>11416</v>
      </c>
      <c r="D5110" s="12" t="str">
        <f>"2049-632X"</f>
        <v>2049-632X</v>
      </c>
      <c r="E5110" s="5">
        <v>3.1659999999999999</v>
      </c>
      <c r="F5110" s="5">
        <v>0.41299999999999998</v>
      </c>
    </row>
    <row r="5111" spans="2:6" x14ac:dyDescent="0.2">
      <c r="B5111" s="9" t="s">
        <v>11417</v>
      </c>
      <c r="C5111" s="15" t="s">
        <v>11418</v>
      </c>
      <c r="D5111" s="12" t="str">
        <f>"2076-0817"</f>
        <v>2076-0817</v>
      </c>
      <c r="E5111" s="5">
        <v>3.492</v>
      </c>
      <c r="F5111" s="5">
        <v>0.51100000000000001</v>
      </c>
    </row>
    <row r="5112" spans="2:6" x14ac:dyDescent="0.2">
      <c r="B5112" s="9" t="s">
        <v>11419</v>
      </c>
      <c r="C5112" s="15" t="s">
        <v>11420</v>
      </c>
      <c r="D5112" s="12" t="str">
        <f>"2047-7724"</f>
        <v>2047-7724</v>
      </c>
      <c r="E5112" s="5">
        <v>2.8940000000000001</v>
      </c>
      <c r="F5112" s="5">
        <v>0.78300000000000003</v>
      </c>
    </row>
    <row r="5113" spans="2:6" x14ac:dyDescent="0.2">
      <c r="B5113" s="9" t="s">
        <v>7521</v>
      </c>
      <c r="C5113" s="15" t="s">
        <v>2552</v>
      </c>
      <c r="D5113" s="12" t="str">
        <f>"1320-5463"</f>
        <v>1320-5463</v>
      </c>
      <c r="E5113" s="5">
        <v>2.5339999999999998</v>
      </c>
      <c r="F5113" s="5">
        <v>0.46800000000000003</v>
      </c>
    </row>
    <row r="5114" spans="2:6" x14ac:dyDescent="0.2">
      <c r="B5114" s="9" t="s">
        <v>7524</v>
      </c>
      <c r="C5114" s="15" t="s">
        <v>7524</v>
      </c>
      <c r="D5114" s="12" t="str">
        <f>"0172-8113"</f>
        <v>0172-8113</v>
      </c>
      <c r="E5114" s="5">
        <v>1.0109999999999999</v>
      </c>
      <c r="F5114" s="5">
        <v>0.11700000000000001</v>
      </c>
    </row>
    <row r="5115" spans="2:6" x14ac:dyDescent="0.2">
      <c r="B5115" s="9" t="s">
        <v>5619</v>
      </c>
      <c r="C5115" s="15" t="s">
        <v>5619</v>
      </c>
      <c r="D5115" s="12" t="str">
        <f>"0031-3025"</f>
        <v>0031-3025</v>
      </c>
      <c r="E5115" s="5">
        <v>5.306</v>
      </c>
      <c r="F5115" s="5">
        <v>0.81799999999999995</v>
      </c>
    </row>
    <row r="5116" spans="2:6" x14ac:dyDescent="0.2">
      <c r="B5116" s="9" t="s">
        <v>7522</v>
      </c>
      <c r="C5116" s="15" t="s">
        <v>2553</v>
      </c>
      <c r="D5116" s="12" t="str">
        <f>"1219-4956"</f>
        <v>1219-4956</v>
      </c>
      <c r="E5116" s="5">
        <v>3.2010000000000001</v>
      </c>
      <c r="F5116" s="5">
        <v>0.54500000000000004</v>
      </c>
    </row>
    <row r="5117" spans="2:6" x14ac:dyDescent="0.2">
      <c r="B5117" s="9" t="s">
        <v>7523</v>
      </c>
      <c r="C5117" s="15" t="s">
        <v>2554</v>
      </c>
      <c r="D5117" s="12" t="str">
        <f>"0344-0338"</f>
        <v>0344-0338</v>
      </c>
      <c r="E5117" s="5">
        <v>3.25</v>
      </c>
      <c r="F5117" s="5">
        <v>0.58399999999999996</v>
      </c>
    </row>
    <row r="5118" spans="2:6" x14ac:dyDescent="0.2">
      <c r="B5118" s="9" t="s">
        <v>11421</v>
      </c>
      <c r="C5118" s="15" t="s">
        <v>11422</v>
      </c>
      <c r="D5118" s="12" t="str">
        <f>"1178-1653"</f>
        <v>1178-1653</v>
      </c>
      <c r="E5118" s="5">
        <v>3.883</v>
      </c>
      <c r="F5118" s="5">
        <v>0.875</v>
      </c>
    </row>
    <row r="5119" spans="2:6" x14ac:dyDescent="0.2">
      <c r="B5119" s="9" t="s">
        <v>7525</v>
      </c>
      <c r="C5119" s="15" t="s">
        <v>2555</v>
      </c>
      <c r="D5119" s="12" t="str">
        <f>"0738-3991"</f>
        <v>0738-3991</v>
      </c>
      <c r="E5119" s="5">
        <v>2.94</v>
      </c>
      <c r="F5119" s="5">
        <v>0.78900000000000003</v>
      </c>
    </row>
    <row r="5120" spans="2:6" x14ac:dyDescent="0.2">
      <c r="B5120" s="9" t="s">
        <v>11423</v>
      </c>
      <c r="C5120" s="15" t="s">
        <v>11424</v>
      </c>
      <c r="D5120" s="12" t="str">
        <f>"1177-889X"</f>
        <v>1177-889X</v>
      </c>
      <c r="E5120" s="5">
        <v>2.7109999999999999</v>
      </c>
      <c r="F5120" s="5">
        <v>0.629</v>
      </c>
    </row>
    <row r="5121" spans="2:6" x14ac:dyDescent="0.2">
      <c r="B5121" s="9" t="s">
        <v>7228</v>
      </c>
      <c r="C5121" s="15" t="s">
        <v>2540</v>
      </c>
      <c r="D5121" s="12" t="str">
        <f>"0006-324X"</f>
        <v>0006-324X</v>
      </c>
      <c r="E5121" s="5">
        <v>0.621</v>
      </c>
      <c r="F5121" s="5">
        <v>0.108</v>
      </c>
    </row>
    <row r="5122" spans="2:6" x14ac:dyDescent="0.2">
      <c r="B5122" s="9" t="s">
        <v>864</v>
      </c>
      <c r="C5122" s="15" t="s">
        <v>865</v>
      </c>
      <c r="D5122" s="12" t="str">
        <f>"1540-7489"</f>
        <v>1540-7489</v>
      </c>
      <c r="E5122" s="5">
        <v>3.7570000000000001</v>
      </c>
      <c r="F5122" s="5">
        <v>0.8</v>
      </c>
    </row>
    <row r="5123" spans="2:6" x14ac:dyDescent="0.2">
      <c r="B5123" s="9" t="s">
        <v>11425</v>
      </c>
      <c r="C5123" s="15" t="s">
        <v>2556</v>
      </c>
      <c r="D5123" s="12" t="str">
        <f>"0905-6157"</f>
        <v>0905-6157</v>
      </c>
      <c r="E5123" s="5">
        <v>6.3769999999999998</v>
      </c>
      <c r="F5123" s="5">
        <v>0.96899999999999997</v>
      </c>
    </row>
    <row r="5124" spans="2:6" x14ac:dyDescent="0.2">
      <c r="B5124" s="9" t="s">
        <v>11426</v>
      </c>
      <c r="C5124" s="15" t="s">
        <v>11427</v>
      </c>
      <c r="D5124" s="12" t="str">
        <f>"2151-321X"</f>
        <v>2151-321X</v>
      </c>
      <c r="E5124" s="5">
        <v>1.349</v>
      </c>
      <c r="F5124" s="5">
        <v>0.17799999999999999</v>
      </c>
    </row>
    <row r="5125" spans="2:6" x14ac:dyDescent="0.2">
      <c r="B5125" s="9" t="s">
        <v>7526</v>
      </c>
      <c r="C5125" s="15" t="s">
        <v>2557</v>
      </c>
      <c r="D5125" s="12" t="str">
        <f>"1460-9592"</f>
        <v>1460-9592</v>
      </c>
      <c r="E5125" s="5">
        <v>2.556</v>
      </c>
      <c r="F5125" s="5">
        <v>0.628</v>
      </c>
    </row>
    <row r="5126" spans="2:6" x14ac:dyDescent="0.2">
      <c r="B5126" s="9" t="s">
        <v>7527</v>
      </c>
      <c r="C5126" s="15" t="s">
        <v>2558</v>
      </c>
      <c r="D5126" s="12" t="str">
        <f>"0090-4481"</f>
        <v>0090-4481</v>
      </c>
      <c r="E5126" s="5">
        <v>1.1319999999999999</v>
      </c>
      <c r="F5126" s="5">
        <v>9.2999999999999999E-2</v>
      </c>
    </row>
    <row r="5127" spans="2:6" x14ac:dyDescent="0.2">
      <c r="B5127" s="9" t="s">
        <v>7528</v>
      </c>
      <c r="C5127" s="15" t="s">
        <v>2559</v>
      </c>
      <c r="D5127" s="12" t="str">
        <f>"1545-5009"</f>
        <v>1545-5009</v>
      </c>
      <c r="E5127" s="5">
        <v>3.1669999999999998</v>
      </c>
      <c r="F5127" s="5">
        <v>0.78300000000000003</v>
      </c>
    </row>
    <row r="5128" spans="2:6" x14ac:dyDescent="0.2">
      <c r="B5128" s="9" t="s">
        <v>7529</v>
      </c>
      <c r="C5128" s="15" t="s">
        <v>2560</v>
      </c>
      <c r="D5128" s="12" t="str">
        <f>"0172-0643"</f>
        <v>0172-0643</v>
      </c>
      <c r="E5128" s="5">
        <v>1.655</v>
      </c>
      <c r="F5128" s="5">
        <v>0.29499999999999998</v>
      </c>
    </row>
    <row r="5129" spans="2:6" x14ac:dyDescent="0.2">
      <c r="B5129" s="9" t="s">
        <v>7530</v>
      </c>
      <c r="C5129" s="15" t="s">
        <v>2561</v>
      </c>
      <c r="D5129" s="12" t="str">
        <f>"1557-8240"</f>
        <v>1557-8240</v>
      </c>
      <c r="E5129" s="5">
        <v>3.278</v>
      </c>
      <c r="F5129" s="5">
        <v>0.79800000000000004</v>
      </c>
    </row>
    <row r="5130" spans="2:6" x14ac:dyDescent="0.2">
      <c r="B5130" s="9" t="s">
        <v>883</v>
      </c>
      <c r="C5130" s="15" t="s">
        <v>884</v>
      </c>
      <c r="D5130" s="12" t="str">
        <f>"1529-7535"</f>
        <v>1529-7535</v>
      </c>
      <c r="E5130" s="5">
        <v>3.6240000000000001</v>
      </c>
      <c r="F5130" s="5">
        <v>0.85299999999999998</v>
      </c>
    </row>
    <row r="5131" spans="2:6" x14ac:dyDescent="0.2">
      <c r="B5131" s="9" t="s">
        <v>11428</v>
      </c>
      <c r="C5131" s="15" t="s">
        <v>11429</v>
      </c>
      <c r="D5131" s="12" t="str">
        <f>"1942-5473"</f>
        <v>1942-5473</v>
      </c>
      <c r="E5131" s="5">
        <v>1.8740000000000001</v>
      </c>
      <c r="F5131" s="5">
        <v>0.35699999999999998</v>
      </c>
    </row>
    <row r="5132" spans="2:6" x14ac:dyDescent="0.2">
      <c r="B5132" s="9" t="s">
        <v>7531</v>
      </c>
      <c r="C5132" s="15" t="s">
        <v>2562</v>
      </c>
      <c r="D5132" s="12" t="str">
        <f>"0736-8046"</f>
        <v>0736-8046</v>
      </c>
      <c r="E5132" s="5">
        <v>1.5880000000000001</v>
      </c>
      <c r="F5132" s="5">
        <v>0.26400000000000001</v>
      </c>
    </row>
    <row r="5133" spans="2:6" x14ac:dyDescent="0.2">
      <c r="B5133" s="9" t="s">
        <v>7532</v>
      </c>
      <c r="C5133" s="15" t="s">
        <v>2563</v>
      </c>
      <c r="D5133" s="12" t="str">
        <f>"1093-5266"</f>
        <v>1093-5266</v>
      </c>
      <c r="E5133" s="5">
        <v>1.4750000000000001</v>
      </c>
      <c r="F5133" s="5">
        <v>0.22500000000000001</v>
      </c>
    </row>
    <row r="5134" spans="2:6" x14ac:dyDescent="0.2">
      <c r="B5134" s="9" t="s">
        <v>7533</v>
      </c>
      <c r="C5134" s="15" t="s">
        <v>2564</v>
      </c>
      <c r="D5134" s="12" t="str">
        <f>"1399-5448"</f>
        <v>1399-5448</v>
      </c>
      <c r="E5134" s="5">
        <v>4.8659999999999997</v>
      </c>
      <c r="F5134" s="5">
        <v>0.93799999999999994</v>
      </c>
    </row>
    <row r="5135" spans="2:6" x14ac:dyDescent="0.2">
      <c r="B5135" s="9" t="s">
        <v>11430</v>
      </c>
      <c r="C5135" s="15" t="s">
        <v>11431</v>
      </c>
      <c r="D5135" s="12" t="str">
        <f>"1174-5878"</f>
        <v>1174-5878</v>
      </c>
      <c r="E5135" s="5">
        <v>3.0219999999999998</v>
      </c>
      <c r="F5135" s="5">
        <v>0.71299999999999997</v>
      </c>
    </row>
    <row r="5136" spans="2:6" x14ac:dyDescent="0.2">
      <c r="B5136" s="9" t="s">
        <v>7534</v>
      </c>
      <c r="C5136" s="15" t="s">
        <v>2565</v>
      </c>
      <c r="D5136" s="12" t="str">
        <f>"0749-5161"</f>
        <v>0749-5161</v>
      </c>
      <c r="E5136" s="5">
        <v>1.454</v>
      </c>
      <c r="F5136" s="5">
        <v>0.313</v>
      </c>
    </row>
    <row r="5137" spans="2:6" x14ac:dyDescent="0.2">
      <c r="B5137" s="9" t="s">
        <v>7535</v>
      </c>
      <c r="C5137" s="15" t="s">
        <v>2566</v>
      </c>
      <c r="D5137" s="12" t="str">
        <f>"0899-8493"</f>
        <v>0899-8493</v>
      </c>
      <c r="E5137" s="5">
        <v>2.3330000000000002</v>
      </c>
      <c r="F5137" s="5">
        <v>0.56599999999999995</v>
      </c>
    </row>
    <row r="5138" spans="2:6" x14ac:dyDescent="0.2">
      <c r="B5138" s="9" t="s">
        <v>7536</v>
      </c>
      <c r="C5138" s="15" t="s">
        <v>2567</v>
      </c>
      <c r="D5138" s="12" t="str">
        <f>"0888-0018"</f>
        <v>0888-0018</v>
      </c>
      <c r="E5138" s="5">
        <v>1.9690000000000001</v>
      </c>
      <c r="F5138" s="5">
        <v>0.41099999999999998</v>
      </c>
    </row>
    <row r="5139" spans="2:6" x14ac:dyDescent="0.2">
      <c r="B5139" s="9" t="s">
        <v>5642</v>
      </c>
      <c r="C5139" s="15" t="s">
        <v>5642</v>
      </c>
      <c r="D5139" s="12" t="str">
        <f>"0031-4005"</f>
        <v>0031-4005</v>
      </c>
      <c r="E5139" s="5">
        <v>7.1239999999999997</v>
      </c>
      <c r="F5139" s="5">
        <v>0.97699999999999998</v>
      </c>
    </row>
    <row r="5140" spans="2:6" x14ac:dyDescent="0.2">
      <c r="B5140" s="9" t="s">
        <v>7537</v>
      </c>
      <c r="C5140" s="15" t="s">
        <v>2568</v>
      </c>
      <c r="D5140" s="12" t="str">
        <f>"0891-3668"</f>
        <v>0891-3668</v>
      </c>
      <c r="E5140" s="5">
        <v>2.129</v>
      </c>
      <c r="F5140" s="5">
        <v>0.47299999999999998</v>
      </c>
    </row>
    <row r="5141" spans="2:6" x14ac:dyDescent="0.2">
      <c r="B5141" s="9" t="s">
        <v>7538</v>
      </c>
      <c r="C5141" s="15" t="s">
        <v>2569</v>
      </c>
      <c r="D5141" s="12" t="str">
        <f>"1328-8067"</f>
        <v>1328-8067</v>
      </c>
      <c r="E5141" s="5">
        <v>1.524</v>
      </c>
      <c r="F5141" s="5">
        <v>0.248</v>
      </c>
    </row>
    <row r="5142" spans="2:6" x14ac:dyDescent="0.2">
      <c r="B5142" s="9" t="s">
        <v>11432</v>
      </c>
      <c r="C5142" s="15" t="s">
        <v>11433</v>
      </c>
      <c r="D5142" s="12" t="str">
        <f>"1875-9572"</f>
        <v>1875-9572</v>
      </c>
      <c r="E5142" s="5">
        <v>2.0830000000000002</v>
      </c>
      <c r="F5142" s="5">
        <v>0.45700000000000002</v>
      </c>
    </row>
    <row r="5143" spans="2:6" x14ac:dyDescent="0.2">
      <c r="B5143" s="9" t="s">
        <v>7539</v>
      </c>
      <c r="C5143" s="15" t="s">
        <v>2570</v>
      </c>
      <c r="D5143" s="12" t="str">
        <f>"0931-041X"</f>
        <v>0931-041X</v>
      </c>
      <c r="E5143" s="5">
        <v>3.714</v>
      </c>
      <c r="F5143" s="5">
        <v>0.86799999999999999</v>
      </c>
    </row>
    <row r="5144" spans="2:6" x14ac:dyDescent="0.2">
      <c r="B5144" s="9" t="s">
        <v>7540</v>
      </c>
      <c r="C5144" s="15" t="s">
        <v>2571</v>
      </c>
      <c r="D5144" s="12" t="str">
        <f>"0887-8994"</f>
        <v>0887-8994</v>
      </c>
      <c r="E5144" s="5">
        <v>3.3719999999999999</v>
      </c>
      <c r="F5144" s="5">
        <v>0.81399999999999995</v>
      </c>
    </row>
    <row r="5145" spans="2:6" x14ac:dyDescent="0.2">
      <c r="B5145" s="9" t="s">
        <v>7541</v>
      </c>
      <c r="C5145" s="15" t="s">
        <v>2572</v>
      </c>
      <c r="D5145" s="12" t="str">
        <f>"1016-2291"</f>
        <v>1016-2291</v>
      </c>
      <c r="E5145" s="5">
        <v>1.1619999999999999</v>
      </c>
      <c r="F5145" s="5">
        <v>0.13300000000000001</v>
      </c>
    </row>
    <row r="5146" spans="2:6" x14ac:dyDescent="0.2">
      <c r="B5146" s="9" t="s">
        <v>11434</v>
      </c>
      <c r="C5146" s="15" t="s">
        <v>11435</v>
      </c>
      <c r="D5146" s="12" t="str">
        <f>"2047-6310"</f>
        <v>2047-6310</v>
      </c>
      <c r="E5146" s="5">
        <v>4</v>
      </c>
      <c r="F5146" s="5">
        <v>0.90700000000000003</v>
      </c>
    </row>
    <row r="5147" spans="2:6" x14ac:dyDescent="0.2">
      <c r="B5147" s="9" t="s">
        <v>11436</v>
      </c>
      <c r="C5147" s="15" t="s">
        <v>11437</v>
      </c>
      <c r="D5147" s="12" t="str">
        <f>"0898-5669"</f>
        <v>0898-5669</v>
      </c>
      <c r="E5147" s="5">
        <v>3.0489999999999999</v>
      </c>
      <c r="F5147" s="5">
        <v>0.84899999999999998</v>
      </c>
    </row>
    <row r="5148" spans="2:6" x14ac:dyDescent="0.2">
      <c r="B5148" s="9" t="s">
        <v>7542</v>
      </c>
      <c r="C5148" s="15" t="s">
        <v>2573</v>
      </c>
      <c r="D5148" s="12" t="str">
        <f>"8755-6863"</f>
        <v>8755-6863</v>
      </c>
      <c r="E5148" s="5">
        <v>3.0390000000000001</v>
      </c>
      <c r="F5148" s="5">
        <v>0.72899999999999998</v>
      </c>
    </row>
    <row r="5149" spans="2:6" x14ac:dyDescent="0.2">
      <c r="B5149" s="9" t="s">
        <v>7543</v>
      </c>
      <c r="C5149" s="15" t="s">
        <v>2574</v>
      </c>
      <c r="D5149" s="12" t="str">
        <f>"0301-0449"</f>
        <v>0301-0449</v>
      </c>
      <c r="E5149" s="5">
        <v>2.5049999999999999</v>
      </c>
      <c r="F5149" s="5">
        <v>0.59699999999999998</v>
      </c>
    </row>
    <row r="5150" spans="2:6" x14ac:dyDescent="0.2">
      <c r="B5150" s="9" t="s">
        <v>7544</v>
      </c>
      <c r="C5150" s="15" t="s">
        <v>2575</v>
      </c>
      <c r="D5150" s="12" t="str">
        <f>"0031-3998"</f>
        <v>0031-3998</v>
      </c>
      <c r="E5150" s="5">
        <v>3.7559999999999998</v>
      </c>
      <c r="F5150" s="5">
        <v>0.876</v>
      </c>
    </row>
    <row r="5151" spans="2:6" x14ac:dyDescent="0.2">
      <c r="B5151" s="9" t="s">
        <v>11438</v>
      </c>
      <c r="C5151" s="15" t="s">
        <v>11439</v>
      </c>
      <c r="D5151" s="12" t="str">
        <f>"1546-0096"</f>
        <v>1546-0096</v>
      </c>
      <c r="E5151" s="5">
        <v>3.0539999999999998</v>
      </c>
      <c r="F5151" s="5">
        <v>0.74399999999999999</v>
      </c>
    </row>
    <row r="5152" spans="2:6" x14ac:dyDescent="0.2">
      <c r="B5152" s="9" t="s">
        <v>7545</v>
      </c>
      <c r="C5152" s="15" t="s">
        <v>2576</v>
      </c>
      <c r="D5152" s="12" t="str">
        <f>"0179-0358"</f>
        <v>0179-0358</v>
      </c>
      <c r="E5152" s="5">
        <v>1.827</v>
      </c>
      <c r="F5152" s="5">
        <v>0.33300000000000002</v>
      </c>
    </row>
    <row r="5153" spans="2:6" x14ac:dyDescent="0.2">
      <c r="B5153" s="9" t="s">
        <v>7546</v>
      </c>
      <c r="C5153" s="15" t="s">
        <v>2577</v>
      </c>
      <c r="D5153" s="12" t="str">
        <f>"1397-3142"</f>
        <v>1397-3142</v>
      </c>
      <c r="E5153" s="5">
        <v>1.502</v>
      </c>
      <c r="F5153" s="5">
        <v>0.24</v>
      </c>
    </row>
    <row r="5154" spans="2:6" x14ac:dyDescent="0.2">
      <c r="B5154" s="9" t="s">
        <v>11440</v>
      </c>
      <c r="C5154" s="15" t="s">
        <v>11441</v>
      </c>
      <c r="D5154" s="12" t="str">
        <f>"2167-8359"</f>
        <v>2167-8359</v>
      </c>
      <c r="E5154" s="5">
        <v>2.984</v>
      </c>
      <c r="F5154" s="5">
        <v>0.63900000000000001</v>
      </c>
    </row>
    <row r="5155" spans="2:6" x14ac:dyDescent="0.2">
      <c r="B5155" s="9" t="s">
        <v>7547</v>
      </c>
      <c r="C5155" s="15" t="s">
        <v>7547</v>
      </c>
      <c r="D5155" s="12" t="str">
        <f>"0196-9781"</f>
        <v>0196-9781</v>
      </c>
      <c r="E5155" s="5">
        <v>3.75</v>
      </c>
      <c r="F5155" s="5">
        <v>0.55300000000000005</v>
      </c>
    </row>
    <row r="5156" spans="2:6" x14ac:dyDescent="0.2">
      <c r="B5156" s="9" t="s">
        <v>11442</v>
      </c>
      <c r="C5156" s="15" t="s">
        <v>11443</v>
      </c>
      <c r="D5156" s="12" t="str">
        <f>"2475-8817"</f>
        <v>2475-8817</v>
      </c>
      <c r="E5156" s="5">
        <v>2.4550000000000001</v>
      </c>
      <c r="F5156" s="5">
        <v>0.33800000000000002</v>
      </c>
    </row>
    <row r="5157" spans="2:6" x14ac:dyDescent="0.2">
      <c r="B5157" s="9" t="s">
        <v>7548</v>
      </c>
      <c r="C5157" s="15" t="s">
        <v>7548</v>
      </c>
      <c r="D5157" s="12" t="str">
        <f>"0301-0066"</f>
        <v>0301-0066</v>
      </c>
      <c r="E5157" s="5">
        <v>1.49</v>
      </c>
      <c r="F5157" s="5">
        <v>0.16900000000000001</v>
      </c>
    </row>
    <row r="5158" spans="2:6" x14ac:dyDescent="0.2">
      <c r="B5158" s="9" t="s">
        <v>885</v>
      </c>
      <c r="C5158" s="15" t="s">
        <v>886</v>
      </c>
      <c r="D5158" s="12" t="str">
        <f>"0031-5125"</f>
        <v>0031-5125</v>
      </c>
      <c r="E5158" s="5">
        <v>1.647</v>
      </c>
      <c r="F5158" s="5">
        <v>0.189</v>
      </c>
    </row>
    <row r="5159" spans="2:6" x14ac:dyDescent="0.2">
      <c r="B5159" s="9" t="s">
        <v>11444</v>
      </c>
      <c r="C5159" s="15" t="s">
        <v>11445</v>
      </c>
      <c r="D5159" s="12" t="str">
        <f>"0188-7653"</f>
        <v>0188-7653</v>
      </c>
      <c r="E5159" s="5">
        <v>0.38300000000000001</v>
      </c>
      <c r="F5159" s="5">
        <v>6.4000000000000001E-2</v>
      </c>
    </row>
    <row r="5160" spans="2:6" x14ac:dyDescent="0.2">
      <c r="B5160" s="9" t="s">
        <v>7549</v>
      </c>
      <c r="C5160" s="15" t="s">
        <v>7549</v>
      </c>
      <c r="D5160" s="12" t="str">
        <f>"0267-6591"</f>
        <v>0267-6591</v>
      </c>
      <c r="E5160" s="5">
        <v>1.972</v>
      </c>
      <c r="F5160" s="5">
        <v>0.22</v>
      </c>
    </row>
    <row r="5161" spans="2:6" x14ac:dyDescent="0.2">
      <c r="B5161" s="9" t="s">
        <v>7550</v>
      </c>
      <c r="C5161" s="15" t="s">
        <v>2578</v>
      </c>
      <c r="D5161" s="12" t="str">
        <f>"0031-5362"</f>
        <v>0031-5362</v>
      </c>
      <c r="E5161" s="5">
        <v>0.313</v>
      </c>
      <c r="F5161" s="5">
        <v>3.2000000000000001E-2</v>
      </c>
    </row>
    <row r="5162" spans="2:6" x14ac:dyDescent="0.2">
      <c r="B5162" s="9" t="s">
        <v>7551</v>
      </c>
      <c r="C5162" s="15" t="s">
        <v>2579</v>
      </c>
      <c r="D5162" s="12" t="str">
        <f>"0906-6713"</f>
        <v>0906-6713</v>
      </c>
      <c r="E5162" s="5">
        <v>7.5890000000000004</v>
      </c>
      <c r="F5162" s="5">
        <v>0.98899999999999999</v>
      </c>
    </row>
    <row r="5163" spans="2:6" x14ac:dyDescent="0.2">
      <c r="B5163" s="9" t="s">
        <v>11446</v>
      </c>
      <c r="C5163" s="15" t="s">
        <v>11447</v>
      </c>
      <c r="D5163" s="12" t="str">
        <f>"2047-0525"</f>
        <v>2047-0525</v>
      </c>
      <c r="E5163" s="5">
        <v>3.5350000000000001</v>
      </c>
      <c r="F5163" s="5">
        <v>0.748</v>
      </c>
    </row>
    <row r="5164" spans="2:6" x14ac:dyDescent="0.2">
      <c r="B5164" s="9" t="s">
        <v>7552</v>
      </c>
      <c r="C5164" s="15" t="s">
        <v>2580</v>
      </c>
      <c r="D5164" s="12" t="str">
        <f>"0896-8608"</f>
        <v>0896-8608</v>
      </c>
      <c r="E5164" s="5">
        <v>1.756</v>
      </c>
      <c r="F5164" s="5">
        <v>0.20200000000000001</v>
      </c>
    </row>
    <row r="5165" spans="2:6" x14ac:dyDescent="0.2">
      <c r="B5165" s="9" t="s">
        <v>887</v>
      </c>
      <c r="C5165" s="15" t="s">
        <v>888</v>
      </c>
      <c r="D5165" s="12" t="str">
        <f>"0191-8869"</f>
        <v>0191-8869</v>
      </c>
      <c r="E5165" s="5">
        <v>3.004</v>
      </c>
      <c r="F5165" s="5">
        <v>0.57799999999999996</v>
      </c>
    </row>
    <row r="5166" spans="2:6" x14ac:dyDescent="0.2">
      <c r="B5166" s="9" t="s">
        <v>889</v>
      </c>
      <c r="C5166" s="15" t="s">
        <v>890</v>
      </c>
      <c r="D5166" s="12" t="str">
        <f>"1741-0541"</f>
        <v>1741-0541</v>
      </c>
      <c r="E5166" s="5">
        <v>2.512</v>
      </c>
      <c r="F5166" s="5">
        <v>0.29099999999999998</v>
      </c>
    </row>
    <row r="5167" spans="2:6" x14ac:dyDescent="0.2">
      <c r="B5167" s="9" t="s">
        <v>11448</v>
      </c>
      <c r="C5167" s="15" t="s">
        <v>11449</v>
      </c>
      <c r="D5167" s="12" t="str">
        <f>"1949-2715"</f>
        <v>1949-2715</v>
      </c>
      <c r="E5167" s="5">
        <v>3.6230000000000002</v>
      </c>
      <c r="F5167" s="5">
        <v>0.64600000000000002</v>
      </c>
    </row>
    <row r="5168" spans="2:6" x14ac:dyDescent="0.2">
      <c r="B5168" s="9" t="s">
        <v>11450</v>
      </c>
      <c r="C5168" s="15" t="s">
        <v>11451</v>
      </c>
      <c r="D5168" s="12" t="str">
        <f>"1932-8621"</f>
        <v>1932-8621</v>
      </c>
      <c r="E5168" s="5">
        <v>3.8159999999999998</v>
      </c>
      <c r="F5168" s="5">
        <v>0.76600000000000001</v>
      </c>
    </row>
    <row r="5169" spans="2:6" x14ac:dyDescent="0.2">
      <c r="B5169" s="9" t="s">
        <v>11452</v>
      </c>
      <c r="C5169" s="15" t="s">
        <v>11452</v>
      </c>
      <c r="D5169" s="12" t="str">
        <f>"0031-5850"</f>
        <v>0031-5850</v>
      </c>
      <c r="E5169" s="5">
        <v>11.051</v>
      </c>
      <c r="F5169" s="5">
        <v>0.93100000000000005</v>
      </c>
    </row>
    <row r="5170" spans="2:6" x14ac:dyDescent="0.2">
      <c r="B5170" s="9" t="s">
        <v>11453</v>
      </c>
      <c r="C5170" s="15" t="s">
        <v>11454</v>
      </c>
      <c r="D5170" s="12" t="str">
        <f>"2520-8969"</f>
        <v>2520-8969</v>
      </c>
      <c r="E5170" s="5">
        <v>2.835</v>
      </c>
      <c r="F5170" s="5">
        <v>0.5</v>
      </c>
    </row>
    <row r="5171" spans="2:6" x14ac:dyDescent="0.2">
      <c r="B5171" s="9" t="s">
        <v>7553</v>
      </c>
      <c r="C5171" s="15" t="s">
        <v>2581</v>
      </c>
      <c r="D5171" s="12" t="str">
        <f>"0031-5982"</f>
        <v>0031-5982</v>
      </c>
      <c r="E5171" s="5">
        <v>1.4159999999999999</v>
      </c>
      <c r="F5171" s="5">
        <v>0.68899999999999995</v>
      </c>
    </row>
    <row r="5172" spans="2:6" x14ac:dyDescent="0.2">
      <c r="B5172" s="9" t="s">
        <v>11455</v>
      </c>
      <c r="C5172" s="15" t="s">
        <v>11456</v>
      </c>
      <c r="D5172" s="12" t="str">
        <f>"2212-2761"</f>
        <v>2212-2761</v>
      </c>
      <c r="E5172" s="5">
        <v>2.9470000000000001</v>
      </c>
      <c r="F5172" s="5">
        <v>0.65100000000000002</v>
      </c>
    </row>
    <row r="5173" spans="2:6" x14ac:dyDescent="0.2">
      <c r="B5173" s="9" t="s">
        <v>7554</v>
      </c>
      <c r="C5173" s="15" t="s">
        <v>2582</v>
      </c>
      <c r="D5173" s="12" t="str">
        <f>"0031-5990"</f>
        <v>0031-5990</v>
      </c>
      <c r="E5173" s="5">
        <v>2.1859999999999999</v>
      </c>
      <c r="F5173" s="5">
        <v>0.63500000000000001</v>
      </c>
    </row>
    <row r="5174" spans="2:6" x14ac:dyDescent="0.2">
      <c r="B5174" s="9" t="s">
        <v>11457</v>
      </c>
      <c r="C5174" s="15" t="s">
        <v>11458</v>
      </c>
      <c r="D5174" s="12" t="str">
        <f>"1745-6916"</f>
        <v>1745-6916</v>
      </c>
      <c r="E5174" s="5">
        <v>9.8369999999999997</v>
      </c>
      <c r="F5174" s="5">
        <v>0.96399999999999997</v>
      </c>
    </row>
    <row r="5175" spans="2:6" x14ac:dyDescent="0.2">
      <c r="B5175" s="9" t="s">
        <v>11459</v>
      </c>
      <c r="C5175" s="15" t="s">
        <v>11460</v>
      </c>
      <c r="D5175" s="12" t="str">
        <f>"1757-9139"</f>
        <v>1757-9139</v>
      </c>
      <c r="E5175" s="5">
        <v>4.9400000000000004</v>
      </c>
      <c r="F5175" s="5">
        <v>0.877</v>
      </c>
    </row>
    <row r="5176" spans="2:6" x14ac:dyDescent="0.2">
      <c r="B5176" s="9" t="s">
        <v>901</v>
      </c>
      <c r="C5176" s="15" t="s">
        <v>902</v>
      </c>
      <c r="D5176" s="12" t="str">
        <f>"1538-6341"</f>
        <v>1538-6341</v>
      </c>
      <c r="E5176" s="5">
        <v>2.75</v>
      </c>
      <c r="F5176" s="5">
        <v>0.65500000000000003</v>
      </c>
    </row>
    <row r="5177" spans="2:6" x14ac:dyDescent="0.2">
      <c r="B5177" s="9" t="s">
        <v>891</v>
      </c>
      <c r="C5177" s="15" t="s">
        <v>892</v>
      </c>
      <c r="D5177" s="12" t="str">
        <f>"0031-5826"</f>
        <v>0031-5826</v>
      </c>
      <c r="E5177" s="5">
        <v>7.0730000000000004</v>
      </c>
      <c r="F5177" s="5">
        <v>0.89200000000000002</v>
      </c>
    </row>
    <row r="5178" spans="2:6" x14ac:dyDescent="0.2">
      <c r="B5178" s="9" t="s">
        <v>893</v>
      </c>
      <c r="C5178" s="15" t="s">
        <v>894</v>
      </c>
      <c r="D5178" s="12" t="str">
        <f>"1350-4126"</f>
        <v>1350-4126</v>
      </c>
      <c r="E5178" s="5">
        <v>1.9</v>
      </c>
      <c r="F5178" s="5">
        <v>0.37</v>
      </c>
    </row>
    <row r="5179" spans="2:6" x14ac:dyDescent="0.2">
      <c r="B5179" s="9" t="s">
        <v>895</v>
      </c>
      <c r="C5179" s="15" t="s">
        <v>896</v>
      </c>
      <c r="D5179" s="12" t="str">
        <f>"0048-3486"</f>
        <v>0048-3486</v>
      </c>
      <c r="E5179" s="5">
        <v>3.4340000000000002</v>
      </c>
      <c r="F5179" s="5">
        <v>0.73299999999999998</v>
      </c>
    </row>
    <row r="5180" spans="2:6" x14ac:dyDescent="0.2">
      <c r="B5180" s="9" t="s">
        <v>897</v>
      </c>
      <c r="C5180" s="15" t="s">
        <v>898</v>
      </c>
      <c r="D5180" s="12" t="str">
        <f>"0146-1672"</f>
        <v>0146-1672</v>
      </c>
      <c r="E5180" s="5">
        <v>4.3760000000000003</v>
      </c>
      <c r="F5180" s="5">
        <v>0.84399999999999997</v>
      </c>
    </row>
    <row r="5181" spans="2:6" x14ac:dyDescent="0.2">
      <c r="B5181" s="9" t="s">
        <v>899</v>
      </c>
      <c r="C5181" s="15" t="s">
        <v>900</v>
      </c>
      <c r="D5181" s="12" t="str">
        <f>"1088-8683"</f>
        <v>1088-8683</v>
      </c>
      <c r="E5181" s="5">
        <v>18.463999999999999</v>
      </c>
      <c r="F5181" s="5">
        <v>1</v>
      </c>
    </row>
    <row r="5182" spans="2:6" x14ac:dyDescent="0.2">
      <c r="B5182" s="9" t="s">
        <v>11461</v>
      </c>
      <c r="C5182" s="15" t="s">
        <v>2583</v>
      </c>
      <c r="D5182" s="12" t="str">
        <f>"0100-736X"</f>
        <v>0100-736X</v>
      </c>
      <c r="E5182" s="5">
        <v>0.58399999999999996</v>
      </c>
      <c r="F5182" s="5">
        <v>0.19900000000000001</v>
      </c>
    </row>
    <row r="5183" spans="2:6" x14ac:dyDescent="0.2">
      <c r="B5183" s="9" t="s">
        <v>866</v>
      </c>
      <c r="C5183" s="15" t="s">
        <v>867</v>
      </c>
      <c r="D5183" s="12" t="str">
        <f>"1736-6046"</f>
        <v>1736-6046</v>
      </c>
      <c r="E5183" s="5">
        <v>1.0449999999999999</v>
      </c>
      <c r="F5183" s="5">
        <v>0.25</v>
      </c>
    </row>
    <row r="5184" spans="2:6" x14ac:dyDescent="0.2">
      <c r="B5184" s="9" t="s">
        <v>7555</v>
      </c>
      <c r="C5184" s="15" t="s">
        <v>2584</v>
      </c>
      <c r="D5184" s="12" t="str">
        <f>"0048-3575"</f>
        <v>0048-3575</v>
      </c>
      <c r="E5184" s="5">
        <v>3.9630000000000001</v>
      </c>
      <c r="F5184" s="5">
        <v>0.93100000000000005</v>
      </c>
    </row>
    <row r="5185" spans="2:6" x14ac:dyDescent="0.2">
      <c r="B5185" s="9" t="s">
        <v>7556</v>
      </c>
      <c r="C5185" s="15" t="s">
        <v>2585</v>
      </c>
      <c r="D5185" s="12" t="str">
        <f>"0965-5441"</f>
        <v>0965-5441</v>
      </c>
      <c r="E5185" s="5">
        <v>1.0289999999999999</v>
      </c>
      <c r="F5185" s="5">
        <v>0.45</v>
      </c>
    </row>
    <row r="5186" spans="2:6" x14ac:dyDescent="0.2">
      <c r="B5186" s="9" t="s">
        <v>7557</v>
      </c>
      <c r="C5186" s="15" t="s">
        <v>7557</v>
      </c>
      <c r="D5186" s="12" t="str">
        <f>"0177-7726"</f>
        <v>0177-7726</v>
      </c>
      <c r="E5186" s="5">
        <v>0.28399999999999997</v>
      </c>
      <c r="F5186" s="5">
        <v>4.8000000000000001E-2</v>
      </c>
    </row>
    <row r="5187" spans="2:6" x14ac:dyDescent="0.2">
      <c r="B5187" s="9" t="s">
        <v>11462</v>
      </c>
      <c r="C5187" s="15" t="s">
        <v>11463</v>
      </c>
      <c r="D5187" s="12" t="str">
        <f>"1012-5302"</f>
        <v>1012-5302</v>
      </c>
      <c r="E5187" s="5">
        <v>0.65500000000000003</v>
      </c>
      <c r="F5187" s="5">
        <v>2.4E-2</v>
      </c>
    </row>
    <row r="5188" spans="2:6" x14ac:dyDescent="0.2">
      <c r="B5188" s="9" t="s">
        <v>7558</v>
      </c>
      <c r="C5188" s="15" t="s">
        <v>2586</v>
      </c>
      <c r="D5188" s="12" t="str">
        <f>"0031-6768"</f>
        <v>0031-6768</v>
      </c>
      <c r="E5188" s="5">
        <v>3.657</v>
      </c>
      <c r="F5188" s="5">
        <v>0.69099999999999995</v>
      </c>
    </row>
    <row r="5189" spans="2:6" x14ac:dyDescent="0.2">
      <c r="B5189" s="9" t="s">
        <v>11464</v>
      </c>
      <c r="C5189" s="15" t="s">
        <v>11465</v>
      </c>
      <c r="D5189" s="12" t="str">
        <f>"1424-8247"</f>
        <v>1424-8247</v>
      </c>
      <c r="E5189" s="5">
        <v>5.8630000000000004</v>
      </c>
      <c r="F5189" s="5">
        <v>0.871</v>
      </c>
    </row>
    <row r="5190" spans="2:6" x14ac:dyDescent="0.2">
      <c r="B5190" s="9" t="s">
        <v>11466</v>
      </c>
      <c r="C5190" s="15" t="s">
        <v>11467</v>
      </c>
      <c r="D5190" s="12" t="str">
        <f>"1999-4923"</f>
        <v>1999-4923</v>
      </c>
      <c r="E5190" s="5">
        <v>6.3209999999999997</v>
      </c>
      <c r="F5190" s="5">
        <v>0.89800000000000002</v>
      </c>
    </row>
    <row r="5191" spans="2:6" x14ac:dyDescent="0.2">
      <c r="B5191" s="9" t="s">
        <v>7562</v>
      </c>
      <c r="C5191" s="15" t="s">
        <v>7562</v>
      </c>
      <c r="D5191" s="12" t="str">
        <f>"1170-7690"</f>
        <v>1170-7690</v>
      </c>
      <c r="E5191" s="5">
        <v>4.9809999999999999</v>
      </c>
      <c r="F5191" s="5">
        <v>0.93200000000000005</v>
      </c>
    </row>
    <row r="5192" spans="2:6" x14ac:dyDescent="0.2">
      <c r="B5192" s="9" t="s">
        <v>7563</v>
      </c>
      <c r="C5192" s="15" t="s">
        <v>2591</v>
      </c>
      <c r="D5192" s="12" t="str">
        <f>"1053-8569"</f>
        <v>1053-8569</v>
      </c>
      <c r="E5192" s="5">
        <v>2.89</v>
      </c>
      <c r="F5192" s="5">
        <v>0.61099999999999999</v>
      </c>
    </row>
    <row r="5193" spans="2:6" x14ac:dyDescent="0.2">
      <c r="B5193" s="9" t="s">
        <v>7564</v>
      </c>
      <c r="C5193" s="15" t="s">
        <v>2592</v>
      </c>
      <c r="D5193" s="12" t="str">
        <f>"1744-6872"</f>
        <v>1744-6872</v>
      </c>
      <c r="E5193" s="5">
        <v>2.089</v>
      </c>
      <c r="F5193" s="5">
        <v>0.251</v>
      </c>
    </row>
    <row r="5194" spans="2:6" x14ac:dyDescent="0.2">
      <c r="B5194" s="9" t="s">
        <v>7565</v>
      </c>
      <c r="C5194" s="15" t="s">
        <v>7565</v>
      </c>
      <c r="D5194" s="12" t="str">
        <f>"1462-2416"</f>
        <v>1462-2416</v>
      </c>
      <c r="E5194" s="5">
        <v>2.5329999999999999</v>
      </c>
      <c r="F5194" s="5">
        <v>0.29499999999999998</v>
      </c>
    </row>
    <row r="5195" spans="2:6" x14ac:dyDescent="0.2">
      <c r="B5195" s="9" t="s">
        <v>7566</v>
      </c>
      <c r="C5195" s="15" t="s">
        <v>2593</v>
      </c>
      <c r="D5195" s="12" t="str">
        <f>"1470-269X"</f>
        <v>1470-269X</v>
      </c>
      <c r="E5195" s="5">
        <v>3.55</v>
      </c>
      <c r="F5195" s="5">
        <v>0.56599999999999995</v>
      </c>
    </row>
    <row r="5196" spans="2:6" x14ac:dyDescent="0.2">
      <c r="B5196" s="9" t="s">
        <v>11468</v>
      </c>
      <c r="C5196" s="15" t="s">
        <v>11469</v>
      </c>
      <c r="D5196" s="12"/>
      <c r="E5196" s="5">
        <v>3.9119999999999999</v>
      </c>
      <c r="F5196" s="5">
        <v>0.58199999999999996</v>
      </c>
    </row>
    <row r="5197" spans="2:6" x14ac:dyDescent="0.2">
      <c r="B5197" s="9" t="s">
        <v>11470</v>
      </c>
      <c r="C5197" s="15" t="s">
        <v>11471</v>
      </c>
      <c r="D5197" s="12" t="str">
        <f>"0973-1296"</f>
        <v>0973-1296</v>
      </c>
      <c r="E5197" s="5">
        <v>1.085</v>
      </c>
      <c r="F5197" s="5">
        <v>8.1000000000000003E-2</v>
      </c>
    </row>
    <row r="5198" spans="2:6" x14ac:dyDescent="0.2">
      <c r="B5198" s="9" t="s">
        <v>7567</v>
      </c>
      <c r="C5198" s="15" t="s">
        <v>2594</v>
      </c>
      <c r="D5198" s="12" t="str">
        <f>"0091-3057"</f>
        <v>0091-3057</v>
      </c>
      <c r="E5198" s="5">
        <v>3.5329999999999999</v>
      </c>
      <c r="F5198" s="5">
        <v>0.755</v>
      </c>
    </row>
    <row r="5199" spans="2:6" x14ac:dyDescent="0.2">
      <c r="B5199" s="9" t="s">
        <v>7572</v>
      </c>
      <c r="C5199" s="15" t="s">
        <v>7572</v>
      </c>
      <c r="D5199" s="12" t="str">
        <f>"0031-7012"</f>
        <v>0031-7012</v>
      </c>
      <c r="E5199" s="5">
        <v>2.5470000000000002</v>
      </c>
      <c r="F5199" s="5">
        <v>0.30199999999999999</v>
      </c>
    </row>
    <row r="5200" spans="2:6" x14ac:dyDescent="0.2">
      <c r="B5200" s="9" t="s">
        <v>7568</v>
      </c>
      <c r="C5200" s="15" t="s">
        <v>2595</v>
      </c>
      <c r="D5200" s="12" t="str">
        <f>"1734-1140"</f>
        <v>1734-1140</v>
      </c>
      <c r="E5200" s="5">
        <v>3.024</v>
      </c>
      <c r="F5200" s="5">
        <v>0.41099999999999998</v>
      </c>
    </row>
    <row r="5201" spans="2:6" x14ac:dyDescent="0.2">
      <c r="B5201" s="9" t="s">
        <v>7569</v>
      </c>
      <c r="C5201" s="15" t="s">
        <v>2596</v>
      </c>
      <c r="D5201" s="12" t="str">
        <f>"1043-6618"</f>
        <v>1043-6618</v>
      </c>
      <c r="E5201" s="5">
        <v>7.6580000000000004</v>
      </c>
      <c r="F5201" s="5">
        <v>0.94499999999999995</v>
      </c>
    </row>
    <row r="5202" spans="2:6" x14ac:dyDescent="0.2">
      <c r="B5202" s="9" t="s">
        <v>11472</v>
      </c>
      <c r="C5202" s="15" t="s">
        <v>11473</v>
      </c>
      <c r="D5202" s="12" t="str">
        <f>"2052-1707"</f>
        <v>2052-1707</v>
      </c>
      <c r="E5202" s="5">
        <v>2.794</v>
      </c>
      <c r="F5202" s="5">
        <v>0.36699999999999999</v>
      </c>
    </row>
    <row r="5203" spans="2:6" x14ac:dyDescent="0.2">
      <c r="B5203" s="9" t="s">
        <v>7570</v>
      </c>
      <c r="C5203" s="15" t="s">
        <v>2597</v>
      </c>
      <c r="D5203" s="12" t="str">
        <f>"0031-6997"</f>
        <v>0031-6997</v>
      </c>
      <c r="E5203" s="5">
        <v>25.468</v>
      </c>
      <c r="F5203" s="5">
        <v>0.996</v>
      </c>
    </row>
    <row r="5204" spans="2:6" x14ac:dyDescent="0.2">
      <c r="B5204" s="9" t="s">
        <v>7571</v>
      </c>
      <c r="C5204" s="15" t="s">
        <v>2598</v>
      </c>
      <c r="D5204" s="12" t="str">
        <f>"0163-7258"</f>
        <v>0163-7258</v>
      </c>
      <c r="E5204" s="5">
        <v>12.31</v>
      </c>
      <c r="F5204" s="5">
        <v>0.97499999999999998</v>
      </c>
    </row>
    <row r="5205" spans="2:6" x14ac:dyDescent="0.2">
      <c r="B5205" s="9" t="s">
        <v>7573</v>
      </c>
      <c r="C5205" s="15" t="s">
        <v>7573</v>
      </c>
      <c r="D5205" s="12" t="str">
        <f>"0176-3679"</f>
        <v>0176-3679</v>
      </c>
      <c r="E5205" s="5">
        <v>5.7880000000000003</v>
      </c>
      <c r="F5205" s="5">
        <v>0.875</v>
      </c>
    </row>
    <row r="5206" spans="2:6" x14ac:dyDescent="0.2">
      <c r="B5206" s="9" t="s">
        <v>7574</v>
      </c>
      <c r="C5206" s="15" t="s">
        <v>7574</v>
      </c>
      <c r="D5206" s="12" t="str">
        <f>"0277-0008"</f>
        <v>0277-0008</v>
      </c>
      <c r="E5206" s="5">
        <v>4.7050000000000001</v>
      </c>
      <c r="F5206" s="5">
        <v>0.73099999999999998</v>
      </c>
    </row>
    <row r="5207" spans="2:6" x14ac:dyDescent="0.2">
      <c r="B5207" s="9" t="s">
        <v>7575</v>
      </c>
      <c r="C5207" s="15" t="s">
        <v>7575</v>
      </c>
      <c r="D5207" s="12" t="str">
        <f>"0031-7144"</f>
        <v>0031-7144</v>
      </c>
      <c r="E5207" s="5">
        <v>1.2669999999999999</v>
      </c>
      <c r="F5207" s="5">
        <v>0.219</v>
      </c>
    </row>
    <row r="5208" spans="2:6" x14ac:dyDescent="0.2">
      <c r="B5208" s="9" t="s">
        <v>7559</v>
      </c>
      <c r="C5208" s="15" t="s">
        <v>2587</v>
      </c>
      <c r="D5208" s="12" t="str">
        <f>"1388-0209"</f>
        <v>1388-0209</v>
      </c>
      <c r="E5208" s="5">
        <v>3.5030000000000001</v>
      </c>
      <c r="F5208" s="5">
        <v>0.76600000000000001</v>
      </c>
    </row>
    <row r="5209" spans="2:6" x14ac:dyDescent="0.2">
      <c r="B5209" s="9" t="s">
        <v>11474</v>
      </c>
      <c r="C5209" s="15" t="s">
        <v>11475</v>
      </c>
      <c r="D5209" s="12" t="str">
        <f>"0091-150X"</f>
        <v>0091-150X</v>
      </c>
      <c r="E5209" s="5">
        <v>0.83699999999999997</v>
      </c>
      <c r="F5209" s="5">
        <v>4.7E-2</v>
      </c>
    </row>
    <row r="5210" spans="2:6" x14ac:dyDescent="0.2">
      <c r="B5210" s="9" t="s">
        <v>7560</v>
      </c>
      <c r="C5210" s="15" t="s">
        <v>2588</v>
      </c>
      <c r="D5210" s="12" t="str">
        <f>"1083-7450"</f>
        <v>1083-7450</v>
      </c>
      <c r="E5210" s="5">
        <v>3.133</v>
      </c>
      <c r="F5210" s="5">
        <v>0.436</v>
      </c>
    </row>
    <row r="5211" spans="2:6" x14ac:dyDescent="0.2">
      <c r="B5211" s="9" t="s">
        <v>903</v>
      </c>
      <c r="C5211" s="15" t="s">
        <v>2589</v>
      </c>
      <c r="D5211" s="12" t="str">
        <f>"0724-8741"</f>
        <v>0724-8741</v>
      </c>
      <c r="E5211" s="5">
        <v>4.2</v>
      </c>
      <c r="F5211" s="5">
        <v>0.65100000000000002</v>
      </c>
    </row>
    <row r="5212" spans="2:6" x14ac:dyDescent="0.2">
      <c r="B5212" s="9" t="s">
        <v>7561</v>
      </c>
      <c r="C5212" s="15" t="s">
        <v>2590</v>
      </c>
      <c r="D5212" s="12" t="str">
        <f>"1539-1604"</f>
        <v>1539-1604</v>
      </c>
      <c r="E5212" s="5">
        <v>1.8939999999999999</v>
      </c>
      <c r="F5212" s="5">
        <v>0.61599999999999999</v>
      </c>
    </row>
    <row r="5213" spans="2:6" x14ac:dyDescent="0.2">
      <c r="B5213" s="9" t="s">
        <v>11476</v>
      </c>
      <c r="C5213" s="15" t="s">
        <v>11477</v>
      </c>
      <c r="D5213" s="12" t="str">
        <f>"1747-5341"</f>
        <v>1747-5341</v>
      </c>
      <c r="E5213" s="5">
        <v>2.464</v>
      </c>
      <c r="F5213" s="5">
        <v>0.89200000000000002</v>
      </c>
    </row>
    <row r="5214" spans="2:6" x14ac:dyDescent="0.2">
      <c r="B5214" s="9" t="s">
        <v>11478</v>
      </c>
      <c r="C5214" s="15" t="s">
        <v>11479</v>
      </c>
      <c r="D5214" s="12" t="str">
        <f>"0031-8019"</f>
        <v>0031-8019</v>
      </c>
      <c r="E5214" s="5">
        <v>1.276</v>
      </c>
      <c r="F5214" s="5">
        <v>0.63500000000000001</v>
      </c>
    </row>
    <row r="5215" spans="2:6" x14ac:dyDescent="0.2">
      <c r="B5215" s="9" t="s">
        <v>904</v>
      </c>
      <c r="C5215" s="15" t="s">
        <v>905</v>
      </c>
      <c r="D5215" s="12" t="str">
        <f>"0951-5089"</f>
        <v>0951-5089</v>
      </c>
      <c r="E5215" s="5">
        <v>1.69</v>
      </c>
      <c r="F5215" s="5">
        <v>0.48199999999999998</v>
      </c>
    </row>
    <row r="5216" spans="2:6" x14ac:dyDescent="0.2">
      <c r="B5216" s="9" t="s">
        <v>7576</v>
      </c>
      <c r="C5216" s="15" t="s">
        <v>2599</v>
      </c>
      <c r="D5216" s="12" t="str">
        <f>"0031-8248"</f>
        <v>0031-8248</v>
      </c>
      <c r="E5216" s="5">
        <v>1.3169999999999999</v>
      </c>
      <c r="F5216" s="5">
        <v>0.66200000000000003</v>
      </c>
    </row>
    <row r="5217" spans="2:6" ht="25.5" x14ac:dyDescent="0.2">
      <c r="B5217" s="9" t="s">
        <v>7577</v>
      </c>
      <c r="C5217" s="15" t="s">
        <v>11480</v>
      </c>
      <c r="D5217" s="12" t="str">
        <f>"1364-503X"</f>
        <v>1364-503X</v>
      </c>
      <c r="E5217" s="5">
        <v>4.226</v>
      </c>
      <c r="F5217" s="5">
        <v>0.76400000000000001</v>
      </c>
    </row>
    <row r="5218" spans="2:6" ht="25.5" x14ac:dyDescent="0.2">
      <c r="B5218" s="9" t="s">
        <v>7578</v>
      </c>
      <c r="C5218" s="15" t="s">
        <v>2600</v>
      </c>
      <c r="D5218" s="12" t="str">
        <f>"0962-8436"</f>
        <v>0962-8436</v>
      </c>
      <c r="E5218" s="5">
        <v>6.2370000000000001</v>
      </c>
      <c r="F5218" s="5">
        <v>0.91400000000000003</v>
      </c>
    </row>
    <row r="5219" spans="2:6" x14ac:dyDescent="0.2">
      <c r="B5219" s="9" t="s">
        <v>7579</v>
      </c>
      <c r="C5219" s="15" t="s">
        <v>7579</v>
      </c>
      <c r="D5219" s="12" t="str">
        <f>"0268-3555"</f>
        <v>0268-3555</v>
      </c>
      <c r="E5219" s="5">
        <v>1.74</v>
      </c>
      <c r="F5219" s="5">
        <v>0.123</v>
      </c>
    </row>
    <row r="5220" spans="2:6" x14ac:dyDescent="0.2">
      <c r="B5220" s="9" t="s">
        <v>7580</v>
      </c>
      <c r="C5220" s="15" t="s">
        <v>7580</v>
      </c>
      <c r="D5220" s="12" t="str">
        <f>"0031-8388"</f>
        <v>0031-8388</v>
      </c>
      <c r="E5220" s="5">
        <v>1.7589999999999999</v>
      </c>
      <c r="F5220" s="5">
        <v>0.69299999999999995</v>
      </c>
    </row>
    <row r="5221" spans="2:6" x14ac:dyDescent="0.2">
      <c r="B5221" s="9" t="s">
        <v>906</v>
      </c>
      <c r="C5221" s="15" t="s">
        <v>907</v>
      </c>
      <c r="D5221" s="12" t="str">
        <f>"1042-6507"</f>
        <v>1042-6507</v>
      </c>
      <c r="E5221" s="5">
        <v>1.0820000000000001</v>
      </c>
      <c r="F5221" s="5">
        <v>0.21099999999999999</v>
      </c>
    </row>
    <row r="5222" spans="2:6" x14ac:dyDescent="0.2">
      <c r="B5222" s="9" t="s">
        <v>11481</v>
      </c>
      <c r="C5222" s="15" t="s">
        <v>11482</v>
      </c>
      <c r="D5222" s="12" t="str">
        <f>"2213-5979"</f>
        <v>2213-5979</v>
      </c>
      <c r="E5222" s="5">
        <v>8.484</v>
      </c>
      <c r="F5222" s="5">
        <v>1</v>
      </c>
    </row>
    <row r="5223" spans="2:6" ht="38.25" x14ac:dyDescent="0.2">
      <c r="B5223" s="9" t="s">
        <v>11483</v>
      </c>
      <c r="C5223" s="15" t="s">
        <v>11483</v>
      </c>
      <c r="D5223" s="12" t="str">
        <f>"2578-5478"</f>
        <v>2578-5478</v>
      </c>
      <c r="E5223" s="5">
        <v>2.222</v>
      </c>
      <c r="F5223" s="5">
        <v>0.443</v>
      </c>
    </row>
    <row r="5224" spans="2:6" x14ac:dyDescent="0.2">
      <c r="B5224" s="9" t="s">
        <v>7582</v>
      </c>
      <c r="C5224" s="15" t="s">
        <v>2602</v>
      </c>
      <c r="D5224" s="12" t="str">
        <f>"0031-8655"</f>
        <v>0031-8655</v>
      </c>
      <c r="E5224" s="5">
        <v>3.4209999999999998</v>
      </c>
      <c r="F5224" s="5">
        <v>0.57699999999999996</v>
      </c>
    </row>
    <row r="5225" spans="2:6" x14ac:dyDescent="0.2">
      <c r="B5225" s="9" t="s">
        <v>7581</v>
      </c>
      <c r="C5225" s="15" t="s">
        <v>2601</v>
      </c>
      <c r="D5225" s="12" t="str">
        <f>"1474-905X"</f>
        <v>1474-905X</v>
      </c>
      <c r="E5225" s="5">
        <v>3.9820000000000002</v>
      </c>
      <c r="F5225" s="5">
        <v>0.70399999999999996</v>
      </c>
    </row>
    <row r="5226" spans="2:6" x14ac:dyDescent="0.2">
      <c r="B5226" s="9" t="s">
        <v>7583</v>
      </c>
      <c r="C5226" s="15" t="s">
        <v>2603</v>
      </c>
      <c r="D5226" s="12" t="str">
        <f>"0905-4383"</f>
        <v>0905-4383</v>
      </c>
      <c r="E5226" s="5">
        <v>3.1349999999999998</v>
      </c>
      <c r="F5226" s="5">
        <v>0.55900000000000005</v>
      </c>
    </row>
    <row r="5227" spans="2:6" x14ac:dyDescent="0.2">
      <c r="B5227" s="9" t="s">
        <v>11484</v>
      </c>
      <c r="C5227" s="15" t="s">
        <v>11485</v>
      </c>
      <c r="D5227" s="12" t="str">
        <f>"1572-1000"</f>
        <v>1572-1000</v>
      </c>
      <c r="E5227" s="5">
        <v>3.6309999999999998</v>
      </c>
      <c r="F5227" s="5">
        <v>0.40699999999999997</v>
      </c>
    </row>
    <row r="5228" spans="2:6" x14ac:dyDescent="0.2">
      <c r="B5228" s="9" t="s">
        <v>7584</v>
      </c>
      <c r="C5228" s="15" t="s">
        <v>2604</v>
      </c>
      <c r="D5228" s="12" t="str">
        <f>"1549-5418"</f>
        <v>1549-5418</v>
      </c>
      <c r="E5228" s="5">
        <v>2.7959999999999998</v>
      </c>
      <c r="F5228" s="5">
        <v>0.61</v>
      </c>
    </row>
    <row r="5229" spans="2:6" x14ac:dyDescent="0.2">
      <c r="B5229" s="9" t="s">
        <v>908</v>
      </c>
      <c r="C5229" s="15" t="s">
        <v>909</v>
      </c>
      <c r="D5229" s="12" t="str">
        <f>"1569-4410"</f>
        <v>1569-4410</v>
      </c>
      <c r="E5229" s="5">
        <v>3.008</v>
      </c>
      <c r="F5229" s="5">
        <v>0.67700000000000005</v>
      </c>
    </row>
    <row r="5230" spans="2:6" x14ac:dyDescent="0.2">
      <c r="B5230" s="9" t="s">
        <v>7585</v>
      </c>
      <c r="C5230" s="15" t="s">
        <v>2605</v>
      </c>
      <c r="D5230" s="12" t="str">
        <f>"1387-974X"</f>
        <v>1387-974X</v>
      </c>
      <c r="E5230" s="5">
        <v>2.028</v>
      </c>
      <c r="F5230" s="5">
        <v>0.41399999999999998</v>
      </c>
    </row>
    <row r="5231" spans="2:6" x14ac:dyDescent="0.2">
      <c r="B5231" s="9" t="s">
        <v>11486</v>
      </c>
      <c r="C5231" s="15" t="s">
        <v>11487</v>
      </c>
      <c r="D5231" s="12" t="str">
        <f>"2304-6732"</f>
        <v>2304-6732</v>
      </c>
      <c r="E5231" s="5">
        <v>2.6760000000000002</v>
      </c>
      <c r="F5231" s="5">
        <v>0.63600000000000001</v>
      </c>
    </row>
    <row r="5232" spans="2:6" x14ac:dyDescent="0.2">
      <c r="B5232" s="9" t="s">
        <v>11488</v>
      </c>
      <c r="C5232" s="15" t="s">
        <v>11489</v>
      </c>
      <c r="D5232" s="12" t="str">
        <f>"1674-9251"</f>
        <v>1674-9251</v>
      </c>
      <c r="E5232" s="5">
        <v>2.4329999999999998</v>
      </c>
      <c r="F5232" s="5">
        <v>0.57799999999999996</v>
      </c>
    </row>
    <row r="5233" spans="2:6" x14ac:dyDescent="0.2">
      <c r="B5233" s="9" t="s">
        <v>11490</v>
      </c>
      <c r="C5233" s="15" t="s">
        <v>11491</v>
      </c>
      <c r="D5233" s="12" t="str">
        <f>"2327-9125"</f>
        <v>2327-9125</v>
      </c>
      <c r="E5233" s="5">
        <v>7.08</v>
      </c>
      <c r="F5233" s="5">
        <v>0.89900000000000002</v>
      </c>
    </row>
    <row r="5234" spans="2:6" x14ac:dyDescent="0.2">
      <c r="B5234" s="9" t="s">
        <v>7586</v>
      </c>
      <c r="C5234" s="15" t="s">
        <v>2606</v>
      </c>
      <c r="D5234" s="12" t="str">
        <f>"1478-3975"</f>
        <v>1478-3975</v>
      </c>
      <c r="E5234" s="5">
        <v>2.5830000000000002</v>
      </c>
      <c r="F5234" s="5">
        <v>0.38</v>
      </c>
    </row>
    <row r="5235" spans="2:6" x14ac:dyDescent="0.2">
      <c r="B5235" s="9" t="s">
        <v>11492</v>
      </c>
      <c r="C5235" s="15" t="s">
        <v>11493</v>
      </c>
      <c r="D5235" s="12" t="str">
        <f>"0091-3847"</f>
        <v>0091-3847</v>
      </c>
      <c r="E5235" s="5">
        <v>2.2410000000000001</v>
      </c>
      <c r="F5235" s="5">
        <v>0.44400000000000001</v>
      </c>
    </row>
    <row r="5236" spans="2:6" x14ac:dyDescent="0.2">
      <c r="B5236" s="9" t="s">
        <v>912</v>
      </c>
      <c r="C5236" s="15" t="s">
        <v>913</v>
      </c>
      <c r="D5236" s="12" t="str">
        <f>"0031-9384"</f>
        <v>0031-9384</v>
      </c>
      <c r="E5236" s="5">
        <v>3.2440000000000002</v>
      </c>
      <c r="F5236" s="5">
        <v>0.71399999999999997</v>
      </c>
    </row>
    <row r="5237" spans="2:6" x14ac:dyDescent="0.2">
      <c r="B5237" s="9" t="s">
        <v>7593</v>
      </c>
      <c r="C5237" s="15" t="s">
        <v>2612</v>
      </c>
      <c r="D5237" s="12" t="str">
        <f>"1522-2152"</f>
        <v>1522-2152</v>
      </c>
      <c r="E5237" s="5">
        <v>2.2469999999999999</v>
      </c>
      <c r="F5237" s="5">
        <v>0.76400000000000001</v>
      </c>
    </row>
    <row r="5238" spans="2:6" x14ac:dyDescent="0.2">
      <c r="B5238" s="9" t="s">
        <v>7594</v>
      </c>
      <c r="C5238" s="15" t="s">
        <v>2613</v>
      </c>
      <c r="D5238" s="12" t="str">
        <f>"1094-8341"</f>
        <v>1094-8341</v>
      </c>
      <c r="E5238" s="5">
        <v>3.1070000000000002</v>
      </c>
      <c r="F5238" s="5">
        <v>0.60499999999999998</v>
      </c>
    </row>
    <row r="5239" spans="2:6" x14ac:dyDescent="0.2">
      <c r="B5239" s="9" t="s">
        <v>11494</v>
      </c>
      <c r="C5239" s="15" t="s">
        <v>11495</v>
      </c>
      <c r="D5239" s="12" t="str">
        <f>"2498-602X"</f>
        <v>2498-602X</v>
      </c>
      <c r="E5239" s="5">
        <v>2.09</v>
      </c>
      <c r="F5239" s="5">
        <v>0.247</v>
      </c>
    </row>
    <row r="5240" spans="2:6" x14ac:dyDescent="0.2">
      <c r="B5240" s="9" t="s">
        <v>7595</v>
      </c>
      <c r="C5240" s="15" t="s">
        <v>2614</v>
      </c>
      <c r="D5240" s="12" t="str">
        <f>"0967-3334"</f>
        <v>0967-3334</v>
      </c>
      <c r="E5240" s="5">
        <v>2.8330000000000002</v>
      </c>
      <c r="F5240" s="5">
        <v>0.50600000000000001</v>
      </c>
    </row>
    <row r="5241" spans="2:6" x14ac:dyDescent="0.2">
      <c r="B5241" s="9" t="s">
        <v>5647</v>
      </c>
      <c r="C5241" s="15" t="s">
        <v>5647</v>
      </c>
      <c r="D5241" s="12" t="str">
        <f>"1548-9213"</f>
        <v>1548-9213</v>
      </c>
      <c r="E5241" s="5">
        <v>8.8309999999999995</v>
      </c>
      <c r="F5241" s="5">
        <v>0.95099999999999996</v>
      </c>
    </row>
    <row r="5242" spans="2:6" x14ac:dyDescent="0.2">
      <c r="B5242" s="9" t="s">
        <v>11496</v>
      </c>
      <c r="C5242" s="15" t="s">
        <v>11497</v>
      </c>
      <c r="D5242" s="12" t="str">
        <f>"0862-8408"</f>
        <v>0862-8408</v>
      </c>
      <c r="E5242" s="5">
        <v>1.881</v>
      </c>
      <c r="F5242" s="5">
        <v>0.185</v>
      </c>
    </row>
    <row r="5243" spans="2:6" x14ac:dyDescent="0.2">
      <c r="B5243" s="9" t="s">
        <v>7596</v>
      </c>
      <c r="C5243" s="15" t="s">
        <v>2615</v>
      </c>
      <c r="D5243" s="12" t="str">
        <f>"0031-9333"</f>
        <v>0031-9333</v>
      </c>
      <c r="E5243" s="5">
        <v>37.311999999999998</v>
      </c>
      <c r="F5243" s="5">
        <v>1</v>
      </c>
    </row>
    <row r="5244" spans="2:6" x14ac:dyDescent="0.2">
      <c r="B5244" s="9" t="s">
        <v>914</v>
      </c>
      <c r="C5244" s="15" t="s">
        <v>915</v>
      </c>
      <c r="D5244" s="12" t="str">
        <f>"0031-9406"</f>
        <v>0031-9406</v>
      </c>
      <c r="E5244" s="5">
        <v>3.3580000000000001</v>
      </c>
      <c r="F5244" s="5">
        <v>0.88200000000000001</v>
      </c>
    </row>
    <row r="5245" spans="2:6" x14ac:dyDescent="0.2">
      <c r="B5245" s="9" t="s">
        <v>11498</v>
      </c>
      <c r="C5245" s="15" t="s">
        <v>11499</v>
      </c>
      <c r="D5245" s="12" t="str">
        <f>"0300-0508"</f>
        <v>0300-0508</v>
      </c>
      <c r="E5245" s="5">
        <v>1.0369999999999999</v>
      </c>
      <c r="F5245" s="5">
        <v>8.4000000000000005E-2</v>
      </c>
    </row>
    <row r="5246" spans="2:6" x14ac:dyDescent="0.2">
      <c r="B5246" s="9" t="s">
        <v>11500</v>
      </c>
      <c r="C5246" s="15" t="s">
        <v>11501</v>
      </c>
      <c r="D5246" s="12" t="str">
        <f>"0959-3985"</f>
        <v>0959-3985</v>
      </c>
      <c r="E5246" s="5">
        <v>2.2789999999999999</v>
      </c>
      <c r="F5246" s="5">
        <v>0.52900000000000003</v>
      </c>
    </row>
    <row r="5247" spans="2:6" x14ac:dyDescent="0.2">
      <c r="B5247" s="9" t="s">
        <v>910</v>
      </c>
      <c r="C5247" s="15" t="s">
        <v>911</v>
      </c>
      <c r="D5247" s="12" t="str">
        <f>"1571-0645"</f>
        <v>1571-0645</v>
      </c>
      <c r="E5247" s="5">
        <v>11.025</v>
      </c>
      <c r="F5247" s="5">
        <v>0.98899999999999999</v>
      </c>
    </row>
    <row r="5248" spans="2:6" x14ac:dyDescent="0.2">
      <c r="B5248" s="9" t="s">
        <v>7587</v>
      </c>
      <c r="C5248" s="15" t="s">
        <v>2607</v>
      </c>
      <c r="D5248" s="12" t="str">
        <f>"0031-9155"</f>
        <v>0031-9155</v>
      </c>
      <c r="E5248" s="5">
        <v>3.609</v>
      </c>
      <c r="F5248" s="5">
        <v>0.66900000000000004</v>
      </c>
    </row>
    <row r="5249" spans="2:6" x14ac:dyDescent="0.2">
      <c r="B5249" s="9" t="s">
        <v>7589</v>
      </c>
      <c r="C5249" s="15" t="s">
        <v>11502</v>
      </c>
      <c r="D5249" s="12" t="str">
        <f>"1724-191X"</f>
        <v>1724-191X</v>
      </c>
      <c r="E5249" s="5">
        <v>2.6850000000000001</v>
      </c>
      <c r="F5249" s="5">
        <v>0.45100000000000001</v>
      </c>
    </row>
    <row r="5250" spans="2:6" x14ac:dyDescent="0.2">
      <c r="B5250" s="9" t="s">
        <v>7588</v>
      </c>
      <c r="C5250" s="15" t="s">
        <v>2608</v>
      </c>
      <c r="D5250" s="12" t="str">
        <f>"0940-6689"</f>
        <v>0940-6689</v>
      </c>
      <c r="E5250" s="5">
        <v>0.90300000000000002</v>
      </c>
      <c r="F5250" s="5">
        <v>0.08</v>
      </c>
    </row>
    <row r="5251" spans="2:6" x14ac:dyDescent="0.2">
      <c r="B5251" s="9" t="s">
        <v>11503</v>
      </c>
      <c r="C5251" s="15" t="s">
        <v>11504</v>
      </c>
      <c r="D5251" s="12" t="str">
        <f>"1047-9651"</f>
        <v>1047-9651</v>
      </c>
      <c r="E5251" s="5">
        <v>1.784</v>
      </c>
      <c r="F5251" s="5">
        <v>0.32800000000000001</v>
      </c>
    </row>
    <row r="5252" spans="2:6" x14ac:dyDescent="0.2">
      <c r="B5252" s="9" t="s">
        <v>11505</v>
      </c>
      <c r="C5252" s="15" t="s">
        <v>11506</v>
      </c>
      <c r="D5252" s="12" t="str">
        <f>"0194-2638"</f>
        <v>0194-2638</v>
      </c>
      <c r="E5252" s="5">
        <v>2.36</v>
      </c>
      <c r="F5252" s="5">
        <v>0.57999999999999996</v>
      </c>
    </row>
    <row r="5253" spans="2:6" x14ac:dyDescent="0.2">
      <c r="B5253" s="9" t="s">
        <v>7590</v>
      </c>
      <c r="C5253" s="15" t="s">
        <v>2609</v>
      </c>
      <c r="D5253" s="12" t="str">
        <f>"1422-6944"</f>
        <v>1422-6944</v>
      </c>
      <c r="E5253" s="5">
        <v>0.21099999999999999</v>
      </c>
      <c r="F5253" s="5">
        <v>4.1000000000000002E-2</v>
      </c>
    </row>
    <row r="5254" spans="2:6" x14ac:dyDescent="0.2">
      <c r="B5254" s="9" t="s">
        <v>7591</v>
      </c>
      <c r="C5254" s="15" t="s">
        <v>2610</v>
      </c>
      <c r="D5254" s="12" t="str">
        <f>"2469-9926"</f>
        <v>2469-9926</v>
      </c>
      <c r="E5254" s="5">
        <v>3.14</v>
      </c>
      <c r="F5254" s="5">
        <v>0.75700000000000001</v>
      </c>
    </row>
    <row r="5255" spans="2:6" x14ac:dyDescent="0.2">
      <c r="B5255" s="9" t="s">
        <v>11507</v>
      </c>
      <c r="C5255" s="15" t="s">
        <v>11508</v>
      </c>
      <c r="D5255" s="12" t="str">
        <f>"2469-9896"</f>
        <v>2469-9896</v>
      </c>
      <c r="E5255" s="5">
        <v>2.4119999999999999</v>
      </c>
      <c r="F5255" s="5">
        <v>0.55800000000000005</v>
      </c>
    </row>
    <row r="5256" spans="2:6" x14ac:dyDescent="0.2">
      <c r="B5256" s="9" t="s">
        <v>11509</v>
      </c>
      <c r="C5256" s="15" t="s">
        <v>11510</v>
      </c>
      <c r="D5256" s="12" t="str">
        <f>"0031-921X"</f>
        <v>0031-921X</v>
      </c>
      <c r="E5256" s="5">
        <v>0.70099999999999996</v>
      </c>
      <c r="F5256" s="5">
        <v>0.129</v>
      </c>
    </row>
    <row r="5257" spans="2:6" x14ac:dyDescent="0.2">
      <c r="B5257" s="9" t="s">
        <v>11511</v>
      </c>
      <c r="C5257" s="15" t="s">
        <v>11512</v>
      </c>
      <c r="D5257" s="12" t="str">
        <f>"0031-9023"</f>
        <v>0031-9023</v>
      </c>
      <c r="E5257" s="5">
        <v>3.0209999999999999</v>
      </c>
      <c r="F5257" s="5">
        <v>0.82399999999999995</v>
      </c>
    </row>
    <row r="5258" spans="2:6" x14ac:dyDescent="0.2">
      <c r="B5258" s="9" t="s">
        <v>7592</v>
      </c>
      <c r="C5258" s="15" t="s">
        <v>2611</v>
      </c>
      <c r="D5258" s="12" t="str">
        <f>"1466-853X"</f>
        <v>1466-853X</v>
      </c>
      <c r="E5258" s="5">
        <v>2.3650000000000002</v>
      </c>
      <c r="F5258" s="5">
        <v>0.58799999999999997</v>
      </c>
    </row>
    <row r="5259" spans="2:6" x14ac:dyDescent="0.2">
      <c r="B5259" s="9" t="s">
        <v>11513</v>
      </c>
      <c r="C5259" s="15" t="s">
        <v>11513</v>
      </c>
      <c r="D5259" s="12" t="str">
        <f>"2471-2906"</f>
        <v>2471-2906</v>
      </c>
      <c r="E5259" s="5">
        <v>3.6429999999999998</v>
      </c>
      <c r="F5259" s="5">
        <v>0.78300000000000003</v>
      </c>
    </row>
    <row r="5260" spans="2:6" x14ac:dyDescent="0.2">
      <c r="B5260" s="9" t="s">
        <v>7597</v>
      </c>
      <c r="C5260" s="15" t="s">
        <v>2616</v>
      </c>
      <c r="D5260" s="12" t="str">
        <f>"0958-0344"</f>
        <v>0958-0344</v>
      </c>
      <c r="E5260" s="5">
        <v>3.3730000000000002</v>
      </c>
      <c r="F5260" s="5">
        <v>0.745</v>
      </c>
    </row>
    <row r="5261" spans="2:6" x14ac:dyDescent="0.2">
      <c r="B5261" s="9" t="s">
        <v>11514</v>
      </c>
      <c r="C5261" s="15" t="s">
        <v>11514</v>
      </c>
      <c r="D5261" s="12" t="str">
        <f>"0031-9422"</f>
        <v>0031-9422</v>
      </c>
      <c r="E5261" s="5">
        <v>4.0720000000000001</v>
      </c>
      <c r="F5261" s="5">
        <v>0.81699999999999995</v>
      </c>
    </row>
    <row r="5262" spans="2:6" x14ac:dyDescent="0.2">
      <c r="B5262" s="9" t="s">
        <v>916</v>
      </c>
      <c r="C5262" s="15" t="s">
        <v>917</v>
      </c>
      <c r="D5262" s="12" t="str">
        <f>"1874-3900"</f>
        <v>1874-3900</v>
      </c>
      <c r="E5262" s="5">
        <v>1.679</v>
      </c>
      <c r="F5262" s="5">
        <v>0.41299999999999998</v>
      </c>
    </row>
    <row r="5263" spans="2:6" x14ac:dyDescent="0.2">
      <c r="B5263" s="9" t="s">
        <v>7598</v>
      </c>
      <c r="C5263" s="15" t="s">
        <v>7598</v>
      </c>
      <c r="D5263" s="12" t="str">
        <f>"0944-7113"</f>
        <v>0944-7113</v>
      </c>
      <c r="E5263" s="5">
        <v>5.34</v>
      </c>
      <c r="F5263" s="5">
        <v>0.92900000000000005</v>
      </c>
    </row>
    <row r="5264" spans="2:6" x14ac:dyDescent="0.2">
      <c r="B5264" s="9" t="s">
        <v>7599</v>
      </c>
      <c r="C5264" s="15" t="s">
        <v>2617</v>
      </c>
      <c r="D5264" s="12" t="str">
        <f>"1099-1573"</f>
        <v>1099-1573</v>
      </c>
      <c r="E5264" s="5">
        <v>5.8780000000000001</v>
      </c>
      <c r="F5264" s="5">
        <v>0.88700000000000001</v>
      </c>
    </row>
    <row r="5265" spans="2:6" x14ac:dyDescent="0.2">
      <c r="B5265" s="9" t="s">
        <v>918</v>
      </c>
      <c r="C5265" s="15" t="s">
        <v>919</v>
      </c>
      <c r="D5265" s="12" t="str">
        <f>"1755-1471"</f>
        <v>1755-1471</v>
      </c>
      <c r="E5265" s="5">
        <v>4.6929999999999996</v>
      </c>
      <c r="F5265" s="5">
        <v>0.82399999999999995</v>
      </c>
    </row>
    <row r="5266" spans="2:6" ht="25.5" x14ac:dyDescent="0.2">
      <c r="B5266" s="9" t="s">
        <v>7494</v>
      </c>
      <c r="C5266" s="15" t="s">
        <v>11515</v>
      </c>
      <c r="D5266" s="12" t="str">
        <f>"0957-6509"</f>
        <v>0957-6509</v>
      </c>
      <c r="E5266" s="5">
        <v>1.8819999999999999</v>
      </c>
      <c r="F5266" s="5">
        <v>0.36799999999999999</v>
      </c>
    </row>
    <row r="5267" spans="2:6" ht="25.5" x14ac:dyDescent="0.2">
      <c r="B5267" s="9" t="s">
        <v>7495</v>
      </c>
      <c r="C5267" s="15" t="s">
        <v>11516</v>
      </c>
      <c r="D5267" s="12" t="str">
        <f>"0954-4054"</f>
        <v>0954-4054</v>
      </c>
      <c r="E5267" s="5">
        <v>2.61</v>
      </c>
      <c r="F5267" s="5">
        <v>0.58599999999999997</v>
      </c>
    </row>
    <row r="5268" spans="2:6" ht="25.5" x14ac:dyDescent="0.2">
      <c r="B5268" s="9" t="s">
        <v>7496</v>
      </c>
      <c r="C5268" s="15" t="s">
        <v>11517</v>
      </c>
      <c r="D5268" s="12" t="str">
        <f>"0954-4062"</f>
        <v>0954-4062</v>
      </c>
      <c r="E5268" s="5">
        <v>1.762</v>
      </c>
      <c r="F5268" s="5">
        <v>0.34599999999999997</v>
      </c>
    </row>
    <row r="5269" spans="2:6" ht="25.5" x14ac:dyDescent="0.2">
      <c r="B5269" s="9" t="s">
        <v>7497</v>
      </c>
      <c r="C5269" s="15" t="s">
        <v>11518</v>
      </c>
      <c r="D5269" s="12" t="str">
        <f>"0954-4070"</f>
        <v>0954-4070</v>
      </c>
      <c r="E5269" s="5">
        <v>1.484</v>
      </c>
      <c r="F5269" s="5">
        <v>0.248</v>
      </c>
    </row>
    <row r="5270" spans="2:6" ht="25.5" x14ac:dyDescent="0.2">
      <c r="B5270" s="9" t="s">
        <v>7498</v>
      </c>
      <c r="C5270" s="15" t="s">
        <v>11519</v>
      </c>
      <c r="D5270" s="12" t="str">
        <f>"0954-4089"</f>
        <v>0954-4089</v>
      </c>
      <c r="E5270" s="5">
        <v>1.62</v>
      </c>
      <c r="F5270" s="5">
        <v>0.29299999999999998</v>
      </c>
    </row>
    <row r="5271" spans="2:6" ht="25.5" x14ac:dyDescent="0.2">
      <c r="B5271" s="9" t="s">
        <v>7499</v>
      </c>
      <c r="C5271" s="15" t="s">
        <v>11520</v>
      </c>
      <c r="D5271" s="12" t="str">
        <f>"0954-4097"</f>
        <v>0954-4097</v>
      </c>
      <c r="E5271" s="5">
        <v>2.359</v>
      </c>
      <c r="F5271" s="5">
        <v>0.54100000000000004</v>
      </c>
    </row>
    <row r="5272" spans="2:6" ht="25.5" x14ac:dyDescent="0.2">
      <c r="B5272" s="9" t="s">
        <v>7500</v>
      </c>
      <c r="C5272" s="15" t="s">
        <v>11521</v>
      </c>
      <c r="D5272" s="12" t="str">
        <f>"0954-4100"</f>
        <v>0954-4100</v>
      </c>
      <c r="E5272" s="5">
        <v>1.056</v>
      </c>
      <c r="F5272" s="5">
        <v>0.23499999999999999</v>
      </c>
    </row>
    <row r="5273" spans="2:6" ht="25.5" x14ac:dyDescent="0.2">
      <c r="B5273" s="9" t="s">
        <v>7501</v>
      </c>
      <c r="C5273" s="15" t="s">
        <v>11522</v>
      </c>
      <c r="D5273" s="12" t="str">
        <f>"0954-4119"</f>
        <v>0954-4119</v>
      </c>
      <c r="E5273" s="5">
        <v>1.617</v>
      </c>
      <c r="F5273" s="5">
        <v>0.184</v>
      </c>
    </row>
    <row r="5274" spans="2:6" ht="25.5" x14ac:dyDescent="0.2">
      <c r="B5274" s="9" t="s">
        <v>7502</v>
      </c>
      <c r="C5274" s="15" t="s">
        <v>11523</v>
      </c>
      <c r="D5274" s="12" t="str">
        <f>"1350-6501"</f>
        <v>1350-6501</v>
      </c>
      <c r="E5274" s="5">
        <v>1.6739999999999999</v>
      </c>
      <c r="F5274" s="5">
        <v>0.308</v>
      </c>
    </row>
    <row r="5275" spans="2:6" ht="25.5" x14ac:dyDescent="0.2">
      <c r="B5275" s="9" t="s">
        <v>7503</v>
      </c>
      <c r="C5275" s="15" t="s">
        <v>11524</v>
      </c>
      <c r="D5275" s="12" t="str">
        <f>"1464-4193"</f>
        <v>1464-4193</v>
      </c>
      <c r="E5275" s="5">
        <v>1.7130000000000001</v>
      </c>
      <c r="F5275" s="5">
        <v>0.33100000000000002</v>
      </c>
    </row>
    <row r="5276" spans="2:6" ht="25.5" x14ac:dyDescent="0.2">
      <c r="B5276" s="9" t="s">
        <v>11525</v>
      </c>
      <c r="C5276" s="15" t="s">
        <v>11526</v>
      </c>
      <c r="D5276" s="12" t="str">
        <f>"1754-3371"</f>
        <v>1754-3371</v>
      </c>
      <c r="E5276" s="5">
        <v>1.2629999999999999</v>
      </c>
      <c r="F5276" s="5">
        <v>0.18</v>
      </c>
    </row>
    <row r="5277" spans="2:6" x14ac:dyDescent="0.2">
      <c r="B5277" s="9" t="s">
        <v>11527</v>
      </c>
      <c r="C5277" s="15" t="s">
        <v>1</v>
      </c>
      <c r="D5277" s="12" t="str">
        <f>"1386-341X"</f>
        <v>1386-341X</v>
      </c>
      <c r="E5277" s="5">
        <v>4.1070000000000002</v>
      </c>
      <c r="F5277" s="5">
        <v>0.53800000000000003</v>
      </c>
    </row>
    <row r="5278" spans="2:6" ht="25.5" x14ac:dyDescent="0.2">
      <c r="B5278" s="9" t="s">
        <v>7504</v>
      </c>
      <c r="C5278" s="15" t="s">
        <v>2541</v>
      </c>
      <c r="D5278" s="12" t="str">
        <f>"0386-2208"</f>
        <v>0386-2208</v>
      </c>
      <c r="E5278" s="5">
        <v>3.4929999999999999</v>
      </c>
      <c r="F5278" s="5">
        <v>0.66700000000000004</v>
      </c>
    </row>
    <row r="5279" spans="2:6" x14ac:dyDescent="0.2">
      <c r="B5279" s="9" t="s">
        <v>7600</v>
      </c>
      <c r="C5279" s="15" t="s">
        <v>7600</v>
      </c>
      <c r="D5279" s="12" t="str">
        <f>"0143-4004"</f>
        <v>0143-4004</v>
      </c>
      <c r="E5279" s="5">
        <v>3.4809999999999999</v>
      </c>
      <c r="F5279" s="5">
        <v>0.75900000000000001</v>
      </c>
    </row>
    <row r="5280" spans="2:6" x14ac:dyDescent="0.2">
      <c r="B5280" s="9" t="s">
        <v>7610</v>
      </c>
      <c r="C5280" s="15" t="s">
        <v>2625</v>
      </c>
      <c r="D5280" s="12" t="str">
        <f>"0032-0943"</f>
        <v>0032-0943</v>
      </c>
      <c r="E5280" s="5">
        <v>3.3519999999999999</v>
      </c>
      <c r="F5280" s="5">
        <v>0.78600000000000003</v>
      </c>
    </row>
    <row r="5281" spans="2:6" x14ac:dyDescent="0.2">
      <c r="B5281" s="9" t="s">
        <v>7601</v>
      </c>
      <c r="C5281" s="15" t="s">
        <v>2618</v>
      </c>
      <c r="D5281" s="12" t="str">
        <f>"1467-7644"</f>
        <v>1467-7644</v>
      </c>
      <c r="E5281" s="5">
        <v>9.8030000000000008</v>
      </c>
      <c r="F5281" s="5">
        <v>0.97</v>
      </c>
    </row>
    <row r="5282" spans="2:6" x14ac:dyDescent="0.2">
      <c r="B5282" s="9" t="s">
        <v>11528</v>
      </c>
      <c r="C5282" s="15" t="s">
        <v>11529</v>
      </c>
      <c r="D5282" s="12" t="str">
        <f>"1342-4580"</f>
        <v>1342-4580</v>
      </c>
      <c r="E5282" s="5">
        <v>1.133</v>
      </c>
      <c r="F5282" s="5">
        <v>0.255</v>
      </c>
    </row>
    <row r="5283" spans="2:6" x14ac:dyDescent="0.2">
      <c r="B5283" s="9" t="s">
        <v>920</v>
      </c>
      <c r="C5283" s="15" t="s">
        <v>921</v>
      </c>
      <c r="D5283" s="12" t="str">
        <f>"1863-5466"</f>
        <v>1863-5466</v>
      </c>
      <c r="E5283" s="5">
        <v>2.0099999999999998</v>
      </c>
      <c r="F5283" s="5">
        <v>0.51500000000000001</v>
      </c>
    </row>
    <row r="5284" spans="2:6" x14ac:dyDescent="0.2">
      <c r="B5284" s="9" t="s">
        <v>7602</v>
      </c>
      <c r="C5284" s="15" t="s">
        <v>7602</v>
      </c>
      <c r="D5284" s="12" t="str">
        <f>"0179-9541"</f>
        <v>0179-9541</v>
      </c>
      <c r="E5284" s="5">
        <v>1.8320000000000001</v>
      </c>
      <c r="F5284" s="5">
        <v>0.51600000000000001</v>
      </c>
    </row>
    <row r="5285" spans="2:6" x14ac:dyDescent="0.2">
      <c r="B5285" s="9" t="s">
        <v>7603</v>
      </c>
      <c r="C5285" s="15" t="s">
        <v>7603</v>
      </c>
      <c r="D5285" s="12" t="str">
        <f>"1040-4651"</f>
        <v>1040-4651</v>
      </c>
      <c r="E5285" s="5">
        <v>11.276999999999999</v>
      </c>
      <c r="F5285" s="5">
        <v>0.97899999999999998</v>
      </c>
    </row>
    <row r="5286" spans="2:6" x14ac:dyDescent="0.2">
      <c r="B5286" s="9" t="s">
        <v>7604</v>
      </c>
      <c r="C5286" s="15" t="s">
        <v>2619</v>
      </c>
      <c r="D5286" s="12" t="str">
        <f>"1471-9053"</f>
        <v>1471-9053</v>
      </c>
      <c r="E5286" s="5">
        <v>4.9269999999999996</v>
      </c>
      <c r="F5286" s="5">
        <v>0.89800000000000002</v>
      </c>
    </row>
    <row r="5287" spans="2:6" x14ac:dyDescent="0.2">
      <c r="B5287" s="9" t="s">
        <v>7605</v>
      </c>
      <c r="C5287" s="15" t="s">
        <v>2620</v>
      </c>
      <c r="D5287" s="12" t="str">
        <f>"0167-6857"</f>
        <v>0167-6857</v>
      </c>
      <c r="E5287" s="5">
        <v>2.7109999999999999</v>
      </c>
      <c r="F5287" s="5">
        <v>0.64300000000000002</v>
      </c>
    </row>
    <row r="5288" spans="2:6" x14ac:dyDescent="0.2">
      <c r="B5288" s="9" t="s">
        <v>7606</v>
      </c>
      <c r="C5288" s="15" t="s">
        <v>2621</v>
      </c>
      <c r="D5288" s="12" t="str">
        <f>"0921-9668"</f>
        <v>0921-9668</v>
      </c>
      <c r="E5288" s="5">
        <v>3.9209999999999998</v>
      </c>
      <c r="F5288" s="5">
        <v>0.8</v>
      </c>
    </row>
    <row r="5289" spans="2:6" x14ac:dyDescent="0.2">
      <c r="B5289" s="9" t="s">
        <v>11530</v>
      </c>
      <c r="C5289" s="15" t="s">
        <v>11531</v>
      </c>
      <c r="D5289" s="12" t="str">
        <f>"1940-3372"</f>
        <v>1940-3372</v>
      </c>
      <c r="E5289" s="5">
        <v>4.0890000000000004</v>
      </c>
      <c r="F5289" s="5">
        <v>0.82599999999999996</v>
      </c>
    </row>
    <row r="5290" spans="2:6" x14ac:dyDescent="0.2">
      <c r="B5290" s="9" t="s">
        <v>11532</v>
      </c>
      <c r="C5290" s="15" t="s">
        <v>11533</v>
      </c>
      <c r="D5290" s="12" t="str">
        <f>"1746-4811"</f>
        <v>1746-4811</v>
      </c>
      <c r="E5290" s="5">
        <v>4.9930000000000003</v>
      </c>
      <c r="F5290" s="5">
        <v>0.90200000000000002</v>
      </c>
    </row>
    <row r="5291" spans="2:6" x14ac:dyDescent="0.2">
      <c r="B5291" s="9" t="s">
        <v>7607</v>
      </c>
      <c r="C5291" s="15" t="s">
        <v>2622</v>
      </c>
      <c r="D5291" s="12" t="str">
        <f>"0167-4412"</f>
        <v>0167-4412</v>
      </c>
      <c r="E5291" s="5">
        <v>4.0759999999999996</v>
      </c>
      <c r="F5291" s="5">
        <v>0.82099999999999995</v>
      </c>
    </row>
    <row r="5292" spans="2:6" x14ac:dyDescent="0.2">
      <c r="B5292" s="9" t="s">
        <v>7608</v>
      </c>
      <c r="C5292" s="15" t="s">
        <v>2623</v>
      </c>
      <c r="D5292" s="12" t="str">
        <f>"0735-9640"</f>
        <v>0735-9640</v>
      </c>
      <c r="E5292" s="5">
        <v>1.595</v>
      </c>
      <c r="F5292" s="5">
        <v>0.39100000000000001</v>
      </c>
    </row>
    <row r="5293" spans="2:6" x14ac:dyDescent="0.2">
      <c r="B5293" s="9" t="s">
        <v>11534</v>
      </c>
      <c r="C5293" s="15" t="s">
        <v>11535</v>
      </c>
      <c r="D5293" s="12" t="str">
        <f>"2194-7953"</f>
        <v>2194-7953</v>
      </c>
      <c r="E5293" s="5">
        <v>3.7669999999999999</v>
      </c>
      <c r="F5293" s="5">
        <v>0.78700000000000003</v>
      </c>
    </row>
    <row r="5294" spans="2:6" x14ac:dyDescent="0.2">
      <c r="B5294" s="9" t="s">
        <v>7609</v>
      </c>
      <c r="C5294" s="15" t="s">
        <v>2624</v>
      </c>
      <c r="D5294" s="12" t="str">
        <f>"0168-9452"</f>
        <v>0168-9452</v>
      </c>
      <c r="E5294" s="5">
        <v>4.7290000000000001</v>
      </c>
      <c r="F5294" s="5">
        <v>0.89400000000000002</v>
      </c>
    </row>
    <row r="5295" spans="2:6" x14ac:dyDescent="0.2">
      <c r="B5295" s="9" t="s">
        <v>11536</v>
      </c>
      <c r="C5295" s="15" t="s">
        <v>11537</v>
      </c>
      <c r="D5295" s="12" t="str">
        <f>"1559-2316"</f>
        <v>1559-2316</v>
      </c>
      <c r="E5295" s="5">
        <v>2.2469999999999999</v>
      </c>
      <c r="F5295" s="5">
        <v>0.54500000000000004</v>
      </c>
    </row>
    <row r="5296" spans="2:6" x14ac:dyDescent="0.2">
      <c r="B5296" s="9" t="s">
        <v>7611</v>
      </c>
      <c r="C5296" s="15" t="s">
        <v>7611</v>
      </c>
      <c r="D5296" s="12" t="str">
        <f>"0147-619X"</f>
        <v>0147-619X</v>
      </c>
      <c r="E5296" s="5">
        <v>3.4660000000000002</v>
      </c>
      <c r="F5296" s="5">
        <v>0.54900000000000004</v>
      </c>
    </row>
    <row r="5297" spans="2:6" x14ac:dyDescent="0.2">
      <c r="B5297" s="9" t="s">
        <v>7612</v>
      </c>
      <c r="C5297" s="15" t="s">
        <v>2626</v>
      </c>
      <c r="D5297" s="12" t="str">
        <f>"0032-1052"</f>
        <v>0032-1052</v>
      </c>
      <c r="E5297" s="5">
        <v>4.7300000000000004</v>
      </c>
      <c r="F5297" s="5">
        <v>0.86699999999999999</v>
      </c>
    </row>
    <row r="5298" spans="2:6" x14ac:dyDescent="0.2">
      <c r="B5298" s="9" t="s">
        <v>11538</v>
      </c>
      <c r="C5298" s="15" t="s">
        <v>11539</v>
      </c>
      <c r="D5298" s="12" t="str">
        <f>"2292-5503"</f>
        <v>2292-5503</v>
      </c>
      <c r="E5298" s="5">
        <v>0.94699999999999995</v>
      </c>
      <c r="F5298" s="5">
        <v>6.7000000000000004E-2</v>
      </c>
    </row>
    <row r="5299" spans="2:6" x14ac:dyDescent="0.2">
      <c r="B5299" s="9" t="s">
        <v>7613</v>
      </c>
      <c r="C5299" s="15" t="s">
        <v>7613</v>
      </c>
      <c r="D5299" s="12" t="str">
        <f>"1369-1635"</f>
        <v>1369-1635</v>
      </c>
      <c r="E5299" s="5">
        <v>3.8620000000000001</v>
      </c>
      <c r="F5299" s="5">
        <v>0.60499999999999998</v>
      </c>
    </row>
    <row r="5300" spans="2:6" x14ac:dyDescent="0.2">
      <c r="B5300" s="9" t="s">
        <v>11540</v>
      </c>
      <c r="C5300" s="15" t="s">
        <v>11541</v>
      </c>
      <c r="D5300" s="12" t="str">
        <f>"0370-047X"</f>
        <v>0370-047X</v>
      </c>
      <c r="E5300" s="5">
        <v>0.94099999999999995</v>
      </c>
      <c r="F5300" s="5">
        <v>0.183</v>
      </c>
    </row>
    <row r="5301" spans="2:6" x14ac:dyDescent="0.2">
      <c r="B5301" s="9" t="s">
        <v>7614</v>
      </c>
      <c r="C5301" s="15" t="s">
        <v>2627</v>
      </c>
      <c r="D5301" s="12" t="str">
        <f>"1545-7885"</f>
        <v>1545-7885</v>
      </c>
      <c r="E5301" s="5">
        <v>8.0289999999999999</v>
      </c>
      <c r="F5301" s="5">
        <v>0.94599999999999995</v>
      </c>
    </row>
    <row r="5302" spans="2:6" x14ac:dyDescent="0.2">
      <c r="B5302" s="9" t="s">
        <v>7615</v>
      </c>
      <c r="C5302" s="15" t="s">
        <v>2628</v>
      </c>
      <c r="D5302" s="12" t="str">
        <f>"1553-7358"</f>
        <v>1553-7358</v>
      </c>
      <c r="E5302" s="5">
        <v>4.4749999999999996</v>
      </c>
      <c r="F5302" s="5">
        <v>0.879</v>
      </c>
    </row>
    <row r="5303" spans="2:6" x14ac:dyDescent="0.2">
      <c r="B5303" s="9" t="s">
        <v>7616</v>
      </c>
      <c r="C5303" s="15" t="s">
        <v>2629</v>
      </c>
      <c r="D5303" s="12" t="str">
        <f>"1553-7404"</f>
        <v>1553-7404</v>
      </c>
      <c r="E5303" s="5">
        <v>5.9169999999999998</v>
      </c>
      <c r="F5303" s="5">
        <v>0.85099999999999998</v>
      </c>
    </row>
    <row r="5304" spans="2:6" x14ac:dyDescent="0.2">
      <c r="B5304" s="9" t="s">
        <v>7617</v>
      </c>
      <c r="C5304" s="15" t="s">
        <v>2630</v>
      </c>
      <c r="D5304" s="12" t="str">
        <f>"1549-1676"</f>
        <v>1549-1676</v>
      </c>
      <c r="E5304" s="5">
        <v>11.069000000000001</v>
      </c>
      <c r="F5304" s="5">
        <v>0.94599999999999995</v>
      </c>
    </row>
    <row r="5305" spans="2:6" x14ac:dyDescent="0.2">
      <c r="B5305" s="9" t="s">
        <v>922</v>
      </c>
      <c r="C5305" s="15" t="s">
        <v>923</v>
      </c>
      <c r="D5305" s="12" t="str">
        <f>"1935-2727"</f>
        <v>1935-2727</v>
      </c>
      <c r="E5305" s="5">
        <v>4.4109999999999996</v>
      </c>
      <c r="F5305" s="5">
        <v>0.95699999999999996</v>
      </c>
    </row>
    <row r="5306" spans="2:6" x14ac:dyDescent="0.2">
      <c r="B5306" s="9" t="s">
        <v>11542</v>
      </c>
      <c r="C5306" s="15" t="s">
        <v>11543</v>
      </c>
      <c r="D5306" s="12" t="str">
        <f>"1932-6203"</f>
        <v>1932-6203</v>
      </c>
      <c r="E5306" s="5">
        <v>3.24</v>
      </c>
      <c r="F5306" s="5">
        <v>0.65300000000000002</v>
      </c>
    </row>
    <row r="5307" spans="2:6" x14ac:dyDescent="0.2">
      <c r="B5307" s="9" t="s">
        <v>7618</v>
      </c>
      <c r="C5307" s="15" t="s">
        <v>2631</v>
      </c>
      <c r="D5307" s="12" t="str">
        <f>"1553-7374"</f>
        <v>1553-7374</v>
      </c>
      <c r="E5307" s="5">
        <v>6.8230000000000004</v>
      </c>
      <c r="F5307" s="5">
        <v>0.94699999999999995</v>
      </c>
    </row>
    <row r="5308" spans="2:6" x14ac:dyDescent="0.2">
      <c r="B5308" s="9" t="s">
        <v>11544</v>
      </c>
      <c r="C5308" s="15" t="s">
        <v>11544</v>
      </c>
      <c r="D5308" s="12" t="str">
        <f>"1934-1482"</f>
        <v>1934-1482</v>
      </c>
      <c r="E5308" s="5">
        <v>2.298</v>
      </c>
      <c r="F5308" s="5">
        <v>0.55500000000000005</v>
      </c>
    </row>
    <row r="5309" spans="2:6" ht="25.5" x14ac:dyDescent="0.2">
      <c r="B5309" s="9" t="s">
        <v>7505</v>
      </c>
      <c r="C5309" s="15" t="s">
        <v>11545</v>
      </c>
      <c r="D5309" s="12" t="str">
        <f>"0027-8424"</f>
        <v>0027-8424</v>
      </c>
      <c r="E5309" s="5">
        <v>11.205</v>
      </c>
      <c r="F5309" s="5">
        <v>0.90300000000000002</v>
      </c>
    </row>
    <row r="5310" spans="2:6" ht="25.5" x14ac:dyDescent="0.2">
      <c r="B5310" s="9" t="s">
        <v>868</v>
      </c>
      <c r="C5310" s="15" t="s">
        <v>869</v>
      </c>
      <c r="D5310" s="12" t="str">
        <f>"0369-8203"</f>
        <v>0369-8203</v>
      </c>
      <c r="E5310" s="5">
        <v>1.544</v>
      </c>
      <c r="F5310" s="5">
        <v>0.36099999999999999</v>
      </c>
    </row>
    <row r="5311" spans="2:6" x14ac:dyDescent="0.2">
      <c r="B5311" s="9" t="s">
        <v>7506</v>
      </c>
      <c r="C5311" s="15" t="s">
        <v>2542</v>
      </c>
      <c r="D5311" s="12" t="str">
        <f>"0029-6651"</f>
        <v>0029-6651</v>
      </c>
      <c r="E5311" s="5">
        <v>6.2969999999999997</v>
      </c>
      <c r="F5311" s="5">
        <v>0.84099999999999997</v>
      </c>
    </row>
    <row r="5312" spans="2:6" x14ac:dyDescent="0.2">
      <c r="B5312" s="9" t="s">
        <v>11546</v>
      </c>
      <c r="C5312" s="15" t="s">
        <v>11547</v>
      </c>
      <c r="D5312" s="12" t="str">
        <f>"0032-3772"</f>
        <v>0032-3772</v>
      </c>
      <c r="E5312" s="5">
        <v>3.2770000000000001</v>
      </c>
      <c r="F5312" s="5">
        <v>0.68300000000000005</v>
      </c>
    </row>
    <row r="5313" spans="2:6" x14ac:dyDescent="0.2">
      <c r="B5313" s="9" t="s">
        <v>926</v>
      </c>
      <c r="C5313" s="15" t="s">
        <v>927</v>
      </c>
      <c r="D5313" s="12" t="str">
        <f>"0032-2687"</f>
        <v>0032-2687</v>
      </c>
      <c r="E5313" s="5">
        <v>3.8460000000000001</v>
      </c>
      <c r="F5313" s="5">
        <v>0.89</v>
      </c>
    </row>
    <row r="5314" spans="2:6" x14ac:dyDescent="0.2">
      <c r="B5314" s="9" t="s">
        <v>11548</v>
      </c>
      <c r="C5314" s="15" t="s">
        <v>11549</v>
      </c>
      <c r="D5314" s="12" t="str">
        <f>"1743-9248"</f>
        <v>1743-9248</v>
      </c>
      <c r="E5314" s="5">
        <v>2.0880000000000001</v>
      </c>
      <c r="F5314" s="5">
        <v>0.68200000000000005</v>
      </c>
    </row>
    <row r="5315" spans="2:6" x14ac:dyDescent="0.2">
      <c r="B5315" s="9" t="s">
        <v>928</v>
      </c>
      <c r="C5315" s="15" t="s">
        <v>929</v>
      </c>
      <c r="D5315" s="12" t="str">
        <f>"1467-9221"</f>
        <v>1467-9221</v>
      </c>
      <c r="E5315" s="5">
        <v>4.3330000000000002</v>
      </c>
      <c r="F5315" s="5">
        <v>0.88500000000000001</v>
      </c>
    </row>
    <row r="5316" spans="2:6" x14ac:dyDescent="0.2">
      <c r="B5316" s="9" t="s">
        <v>11550</v>
      </c>
      <c r="C5316" s="15" t="s">
        <v>11551</v>
      </c>
      <c r="D5316" s="12" t="str">
        <f>"1733-1331"</f>
        <v>1733-1331</v>
      </c>
      <c r="E5316" s="5">
        <v>1.28</v>
      </c>
      <c r="F5316" s="5">
        <v>6.7000000000000004E-2</v>
      </c>
    </row>
    <row r="5317" spans="2:6" x14ac:dyDescent="0.2">
      <c r="B5317" s="9" t="s">
        <v>11552</v>
      </c>
      <c r="C5317" s="15" t="s">
        <v>11553</v>
      </c>
      <c r="D5317" s="12" t="str">
        <f>"1233-9687"</f>
        <v>1233-9687</v>
      </c>
      <c r="E5317" s="5">
        <v>1.0720000000000001</v>
      </c>
      <c r="F5317" s="5">
        <v>0.13</v>
      </c>
    </row>
    <row r="5318" spans="2:6" x14ac:dyDescent="0.2">
      <c r="B5318" s="9" t="s">
        <v>924</v>
      </c>
      <c r="C5318" s="15" t="s">
        <v>925</v>
      </c>
      <c r="D5318" s="12" t="str">
        <f>"2300-2557"</f>
        <v>2300-2557</v>
      </c>
      <c r="E5318" s="5">
        <v>0.82099999999999995</v>
      </c>
      <c r="F5318" s="5">
        <v>0.28100000000000003</v>
      </c>
    </row>
    <row r="5319" spans="2:6" x14ac:dyDescent="0.2">
      <c r="B5319" s="9" t="s">
        <v>7619</v>
      </c>
      <c r="C5319" s="15" t="s">
        <v>2632</v>
      </c>
      <c r="D5319" s="12" t="str">
        <f>"1040-6638"</f>
        <v>1040-6638</v>
      </c>
      <c r="E5319" s="5">
        <v>3.7440000000000002</v>
      </c>
      <c r="F5319" s="5">
        <v>0.754</v>
      </c>
    </row>
    <row r="5320" spans="2:6" x14ac:dyDescent="0.2">
      <c r="B5320" s="9" t="s">
        <v>930</v>
      </c>
      <c r="C5320" s="15" t="s">
        <v>931</v>
      </c>
      <c r="D5320" s="12" t="str">
        <f>"0032-4728"</f>
        <v>0032-4728</v>
      </c>
      <c r="E5320" s="5">
        <v>2.4</v>
      </c>
      <c r="F5320" s="5">
        <v>0.55200000000000005</v>
      </c>
    </row>
    <row r="5321" spans="2:6" x14ac:dyDescent="0.2">
      <c r="B5321" s="9" t="s">
        <v>942</v>
      </c>
      <c r="C5321" s="15" t="s">
        <v>942</v>
      </c>
      <c r="D5321" s="12" t="str">
        <f>"0032-4663"</f>
        <v>0032-4663</v>
      </c>
      <c r="E5321" s="5">
        <v>2.7250000000000001</v>
      </c>
      <c r="F5321" s="5">
        <v>0.621</v>
      </c>
    </row>
    <row r="5322" spans="2:6" x14ac:dyDescent="0.2">
      <c r="B5322" s="9" t="s">
        <v>932</v>
      </c>
      <c r="C5322" s="15" t="s">
        <v>933</v>
      </c>
      <c r="D5322" s="12" t="str">
        <f>"0098-7921"</f>
        <v>0098-7921</v>
      </c>
      <c r="E5322" s="5">
        <v>3.3380000000000001</v>
      </c>
      <c r="F5322" s="5">
        <v>0.82799999999999996</v>
      </c>
    </row>
    <row r="5323" spans="2:6" x14ac:dyDescent="0.2">
      <c r="B5323" s="9" t="s">
        <v>934</v>
      </c>
      <c r="C5323" s="15" t="s">
        <v>935</v>
      </c>
      <c r="D5323" s="12" t="str">
        <f>"0199-0039"</f>
        <v>0199-0039</v>
      </c>
      <c r="E5323" s="5">
        <v>3.5369999999999999</v>
      </c>
      <c r="F5323" s="5">
        <v>0.86199999999999999</v>
      </c>
    </row>
    <row r="5324" spans="2:6" x14ac:dyDescent="0.2">
      <c r="B5324" s="9" t="s">
        <v>936</v>
      </c>
      <c r="C5324" s="15" t="s">
        <v>937</v>
      </c>
      <c r="D5324" s="12" t="str">
        <f>"1942-7891"</f>
        <v>1942-7891</v>
      </c>
      <c r="E5324" s="5">
        <v>2.4590000000000001</v>
      </c>
      <c r="F5324" s="5">
        <v>0.39300000000000002</v>
      </c>
    </row>
    <row r="5325" spans="2:6" x14ac:dyDescent="0.2">
      <c r="B5325" s="9" t="s">
        <v>11554</v>
      </c>
      <c r="C5325" s="15" t="s">
        <v>11555</v>
      </c>
      <c r="D5325" s="12" t="str">
        <f>"1478-7954"</f>
        <v>1478-7954</v>
      </c>
      <c r="E5325" s="5">
        <v>2.786</v>
      </c>
      <c r="F5325" s="5">
        <v>0.57999999999999996</v>
      </c>
    </row>
    <row r="5326" spans="2:6" x14ac:dyDescent="0.2">
      <c r="B5326" s="9" t="s">
        <v>938</v>
      </c>
      <c r="C5326" s="15" t="s">
        <v>939</v>
      </c>
      <c r="D5326" s="12" t="str">
        <f>"0167-5923"</f>
        <v>0167-5923</v>
      </c>
      <c r="E5326" s="5">
        <v>2.0510000000000002</v>
      </c>
      <c r="F5326" s="5">
        <v>0.48299999999999998</v>
      </c>
    </row>
    <row r="5327" spans="2:6" x14ac:dyDescent="0.2">
      <c r="B5327" s="9" t="s">
        <v>940</v>
      </c>
      <c r="C5327" s="15" t="s">
        <v>941</v>
      </c>
      <c r="D5327" s="12" t="str">
        <f>"1544-8444"</f>
        <v>1544-8444</v>
      </c>
      <c r="E5327" s="5">
        <v>3.8140000000000001</v>
      </c>
      <c r="F5327" s="5">
        <v>0.93100000000000005</v>
      </c>
    </row>
    <row r="5328" spans="2:6" x14ac:dyDescent="0.2">
      <c r="B5328" s="9" t="s">
        <v>11556</v>
      </c>
      <c r="C5328" s="15" t="s">
        <v>11557</v>
      </c>
      <c r="D5328" s="12" t="str">
        <f>"2055-5660"</f>
        <v>2055-5660</v>
      </c>
      <c r="E5328" s="5">
        <v>3.048</v>
      </c>
      <c r="F5328" s="5">
        <v>0.89700000000000002</v>
      </c>
    </row>
    <row r="5329" spans="2:6" x14ac:dyDescent="0.2">
      <c r="B5329" s="9" t="s">
        <v>943</v>
      </c>
      <c r="C5329" s="15" t="s">
        <v>944</v>
      </c>
      <c r="D5329" s="12" t="str">
        <f>"1531-2542"</f>
        <v>1531-2542</v>
      </c>
      <c r="E5329" s="5">
        <v>1.0669999999999999</v>
      </c>
      <c r="F5329" s="5">
        <v>0.27100000000000002</v>
      </c>
    </row>
    <row r="5330" spans="2:6" x14ac:dyDescent="0.2">
      <c r="B5330" s="9" t="s">
        <v>945</v>
      </c>
      <c r="C5330" s="15" t="s">
        <v>946</v>
      </c>
      <c r="D5330" s="12" t="str">
        <f>"1642-395X"</f>
        <v>1642-395X</v>
      </c>
      <c r="E5330" s="5">
        <v>1.837</v>
      </c>
      <c r="F5330" s="5">
        <v>0.23499999999999999</v>
      </c>
    </row>
    <row r="5331" spans="2:6" x14ac:dyDescent="0.2">
      <c r="B5331" s="9" t="s">
        <v>11558</v>
      </c>
      <c r="C5331" s="15" t="s">
        <v>11559</v>
      </c>
      <c r="D5331" s="12" t="str">
        <f>"0032-5449"</f>
        <v>0032-5449</v>
      </c>
      <c r="E5331" s="5">
        <v>0.27</v>
      </c>
      <c r="F5331" s="5">
        <v>1.4E-2</v>
      </c>
    </row>
    <row r="5332" spans="2:6" x14ac:dyDescent="0.2">
      <c r="B5332" s="9" t="s">
        <v>947</v>
      </c>
      <c r="C5332" s="15" t="s">
        <v>948</v>
      </c>
      <c r="D5332" s="12" t="str">
        <f>"1734-9338"</f>
        <v>1734-9338</v>
      </c>
      <c r="E5332" s="5">
        <v>1.4259999999999999</v>
      </c>
      <c r="F5332" s="5">
        <v>5.7000000000000002E-2</v>
      </c>
    </row>
    <row r="5333" spans="2:6" x14ac:dyDescent="0.2">
      <c r="B5333" s="9" t="s">
        <v>949</v>
      </c>
      <c r="C5333" s="15" t="s">
        <v>950</v>
      </c>
      <c r="D5333" s="12" t="str">
        <f>"0079-4252"</f>
        <v>0079-4252</v>
      </c>
      <c r="E5333" s="5">
        <v>0.29399999999999998</v>
      </c>
      <c r="F5333" s="5">
        <v>7.0000000000000001E-3</v>
      </c>
    </row>
    <row r="5334" spans="2:6" x14ac:dyDescent="0.2">
      <c r="B5334" s="9" t="s">
        <v>11560</v>
      </c>
      <c r="C5334" s="15" t="s">
        <v>11561</v>
      </c>
      <c r="D5334" s="12" t="str">
        <f>"0324-833X"</f>
        <v>0324-833X</v>
      </c>
      <c r="E5334" s="5">
        <v>6.8000000000000005E-2</v>
      </c>
      <c r="F5334" s="5">
        <v>5.0000000000000001E-3</v>
      </c>
    </row>
    <row r="5335" spans="2:6" x14ac:dyDescent="0.2">
      <c r="B5335" s="9" t="s">
        <v>951</v>
      </c>
      <c r="C5335" s="15" t="s">
        <v>952</v>
      </c>
      <c r="D5335" s="12" t="str">
        <f>"1941-9260"</f>
        <v>1941-9260</v>
      </c>
      <c r="E5335" s="5">
        <v>3.84</v>
      </c>
      <c r="F5335" s="5">
        <v>0.76</v>
      </c>
    </row>
    <row r="5336" spans="2:6" x14ac:dyDescent="0.2">
      <c r="B5336" s="9" t="s">
        <v>7620</v>
      </c>
      <c r="C5336" s="15" t="s">
        <v>2633</v>
      </c>
      <c r="D5336" s="12" t="str">
        <f>"0032-5473"</f>
        <v>0032-5473</v>
      </c>
      <c r="E5336" s="5">
        <v>2.4009999999999998</v>
      </c>
      <c r="F5336" s="5">
        <v>0.51500000000000001</v>
      </c>
    </row>
    <row r="5337" spans="2:6" x14ac:dyDescent="0.2">
      <c r="B5337" s="9" t="s">
        <v>11562</v>
      </c>
      <c r="C5337" s="15" t="s">
        <v>11563</v>
      </c>
      <c r="D5337" s="12" t="str">
        <f>"1687-4757"</f>
        <v>1687-4757</v>
      </c>
      <c r="E5337" s="5">
        <v>4.9640000000000004</v>
      </c>
      <c r="F5337" s="5">
        <v>0.65</v>
      </c>
    </row>
    <row r="5338" spans="2:6" x14ac:dyDescent="0.2">
      <c r="B5338" s="9" t="s">
        <v>11564</v>
      </c>
      <c r="C5338" s="15" t="s">
        <v>11565</v>
      </c>
      <c r="D5338" s="12" t="str">
        <f>"1879-8500"</f>
        <v>1879-8500</v>
      </c>
      <c r="E5338" s="5">
        <v>3.5390000000000001</v>
      </c>
      <c r="F5338" s="5">
        <v>0.66200000000000003</v>
      </c>
    </row>
    <row r="5339" spans="2:6" x14ac:dyDescent="0.2">
      <c r="B5339" s="9" t="s">
        <v>11566</v>
      </c>
      <c r="C5339" s="15" t="s">
        <v>11567</v>
      </c>
      <c r="D5339" s="12" t="str">
        <f>"1269-1763"</f>
        <v>1269-1763</v>
      </c>
      <c r="E5339" s="5">
        <v>0.32700000000000001</v>
      </c>
      <c r="F5339" s="5">
        <v>2.5999999999999999E-2</v>
      </c>
    </row>
    <row r="5340" spans="2:6" x14ac:dyDescent="0.2">
      <c r="B5340" s="9" t="s">
        <v>953</v>
      </c>
      <c r="C5340" s="15" t="s">
        <v>954</v>
      </c>
      <c r="D5340" s="12" t="str">
        <f>"0032-7034"</f>
        <v>0032-7034</v>
      </c>
      <c r="E5340" s="5">
        <v>0.307</v>
      </c>
      <c r="F5340" s="5">
        <v>2.5999999999999999E-2</v>
      </c>
    </row>
    <row r="5341" spans="2:6" x14ac:dyDescent="0.2">
      <c r="B5341" s="9" t="s">
        <v>11568</v>
      </c>
      <c r="C5341" s="15" t="s">
        <v>11569</v>
      </c>
      <c r="D5341" s="12" t="str">
        <f>"2210-7789"</f>
        <v>2210-7789</v>
      </c>
      <c r="E5341" s="5">
        <v>2.899</v>
      </c>
      <c r="F5341" s="5">
        <v>0.56599999999999995</v>
      </c>
    </row>
    <row r="5342" spans="2:6" x14ac:dyDescent="0.2">
      <c r="B5342" s="9" t="s">
        <v>11570</v>
      </c>
      <c r="C5342" s="15" t="s">
        <v>11571</v>
      </c>
      <c r="D5342" s="12"/>
      <c r="E5342" s="5">
        <v>2.04</v>
      </c>
      <c r="F5342" s="5">
        <v>0.40600000000000003</v>
      </c>
    </row>
    <row r="5343" spans="2:6" x14ac:dyDescent="0.2">
      <c r="B5343" s="9" t="s">
        <v>955</v>
      </c>
      <c r="C5343" s="15" t="s">
        <v>956</v>
      </c>
      <c r="D5343" s="12" t="str">
        <f>"1090-3127"</f>
        <v>1090-3127</v>
      </c>
      <c r="E5343" s="5">
        <v>3.077</v>
      </c>
      <c r="F5343" s="5">
        <v>0.78100000000000003</v>
      </c>
    </row>
    <row r="5344" spans="2:6" x14ac:dyDescent="0.2">
      <c r="B5344" s="9" t="s">
        <v>7621</v>
      </c>
      <c r="C5344" s="15" t="s">
        <v>2634</v>
      </c>
      <c r="D5344" s="12" t="str">
        <f>"1097-0223"</f>
        <v>1097-0223</v>
      </c>
      <c r="E5344" s="5">
        <v>3.05</v>
      </c>
      <c r="F5344" s="5">
        <v>0.63900000000000001</v>
      </c>
    </row>
    <row r="5345" spans="2:6" x14ac:dyDescent="0.2">
      <c r="B5345" s="9" t="s">
        <v>7622</v>
      </c>
      <c r="C5345" s="15" t="s">
        <v>2635</v>
      </c>
      <c r="D5345" s="12" t="str">
        <f>"1082-6068"</f>
        <v>1082-6068</v>
      </c>
      <c r="E5345" s="5">
        <v>2.1619999999999999</v>
      </c>
      <c r="F5345" s="5">
        <v>0.27300000000000002</v>
      </c>
    </row>
    <row r="5346" spans="2:6" x14ac:dyDescent="0.2">
      <c r="B5346" s="9" t="s">
        <v>7623</v>
      </c>
      <c r="C5346" s="15" t="s">
        <v>2636</v>
      </c>
      <c r="D5346" s="12" t="str">
        <f>"0755-4982"</f>
        <v>0755-4982</v>
      </c>
      <c r="E5346" s="5">
        <v>1.228</v>
      </c>
      <c r="F5346" s="5">
        <v>0.246</v>
      </c>
    </row>
    <row r="5347" spans="2:6" x14ac:dyDescent="0.2">
      <c r="B5347" s="9" t="s">
        <v>11572</v>
      </c>
      <c r="C5347" s="15" t="s">
        <v>11573</v>
      </c>
      <c r="D5347" s="12" t="str">
        <f>"1545-1151"</f>
        <v>1545-1151</v>
      </c>
      <c r="E5347" s="5">
        <v>2.83</v>
      </c>
      <c r="F5347" s="5">
        <v>0.60099999999999998</v>
      </c>
    </row>
    <row r="5348" spans="2:6" x14ac:dyDescent="0.2">
      <c r="B5348" s="9" t="s">
        <v>7624</v>
      </c>
      <c r="C5348" s="15" t="s">
        <v>2637</v>
      </c>
      <c r="D5348" s="12" t="str">
        <f>"0091-7435"</f>
        <v>0091-7435</v>
      </c>
      <c r="E5348" s="5">
        <v>4.0179999999999998</v>
      </c>
      <c r="F5348" s="5">
        <v>0.79500000000000004</v>
      </c>
    </row>
    <row r="5349" spans="2:6" x14ac:dyDescent="0.2">
      <c r="B5349" s="9" t="s">
        <v>957</v>
      </c>
      <c r="C5349" s="15" t="s">
        <v>958</v>
      </c>
      <c r="D5349" s="12" t="str">
        <f>"1389-4986"</f>
        <v>1389-4986</v>
      </c>
      <c r="E5349" s="5">
        <v>4.056</v>
      </c>
      <c r="F5349" s="5">
        <v>0.80200000000000005</v>
      </c>
    </row>
    <row r="5350" spans="2:6" x14ac:dyDescent="0.2">
      <c r="B5350" s="9" t="s">
        <v>7625</v>
      </c>
      <c r="C5350" s="15" t="s">
        <v>2638</v>
      </c>
      <c r="D5350" s="12" t="str">
        <f>"0167-5877"</f>
        <v>0167-5877</v>
      </c>
      <c r="E5350" s="5">
        <v>2.67</v>
      </c>
      <c r="F5350" s="5">
        <v>0.82199999999999995</v>
      </c>
    </row>
    <row r="5351" spans="2:6" x14ac:dyDescent="0.2">
      <c r="B5351" s="9" t="s">
        <v>11574</v>
      </c>
      <c r="C5351" s="15" t="s">
        <v>11575</v>
      </c>
      <c r="D5351" s="12" t="str">
        <f>"0738-0658"</f>
        <v>0738-0658</v>
      </c>
      <c r="E5351" s="5">
        <v>0.70499999999999996</v>
      </c>
      <c r="F5351" s="5">
        <v>3.4000000000000002E-2</v>
      </c>
    </row>
    <row r="5352" spans="2:6" x14ac:dyDescent="0.2">
      <c r="B5352" s="9" t="s">
        <v>7626</v>
      </c>
      <c r="C5352" s="15" t="s">
        <v>7626</v>
      </c>
      <c r="D5352" s="12" t="str">
        <f>"0095-4543"</f>
        <v>0095-4543</v>
      </c>
      <c r="E5352" s="5">
        <v>2.907</v>
      </c>
      <c r="F5352" s="5">
        <v>0.77800000000000002</v>
      </c>
    </row>
    <row r="5353" spans="2:6" x14ac:dyDescent="0.2">
      <c r="B5353" s="9" t="s">
        <v>11576</v>
      </c>
      <c r="C5353" s="15" t="s">
        <v>11577</v>
      </c>
      <c r="D5353" s="12" t="str">
        <f>"1751-9918"</f>
        <v>1751-9918</v>
      </c>
      <c r="E5353" s="5">
        <v>2.4590000000000001</v>
      </c>
      <c r="F5353" s="5">
        <v>0.5</v>
      </c>
    </row>
    <row r="5354" spans="2:6" x14ac:dyDescent="0.2">
      <c r="B5354" s="9" t="s">
        <v>11578</v>
      </c>
      <c r="C5354" s="15" t="s">
        <v>11579</v>
      </c>
      <c r="D5354" s="12" t="str">
        <f>"1463-4236"</f>
        <v>1463-4236</v>
      </c>
      <c r="E5354" s="5">
        <v>1.458</v>
      </c>
      <c r="F5354" s="5">
        <v>0.222</v>
      </c>
    </row>
    <row r="5355" spans="2:6" x14ac:dyDescent="0.2">
      <c r="B5355" s="9" t="s">
        <v>959</v>
      </c>
      <c r="C5355" s="15" t="s">
        <v>960</v>
      </c>
      <c r="D5355" s="12" t="str">
        <f>"1933-690X"</f>
        <v>1933-690X</v>
      </c>
      <c r="E5355" s="5">
        <v>3.931</v>
      </c>
      <c r="F5355" s="5">
        <v>0.51700000000000002</v>
      </c>
    </row>
    <row r="5356" spans="2:6" x14ac:dyDescent="0.2">
      <c r="B5356" s="9" t="s">
        <v>7627</v>
      </c>
      <c r="C5356" s="15" t="s">
        <v>2639</v>
      </c>
      <c r="D5356" s="12" t="str">
        <f>"0269-9648"</f>
        <v>0269-9648</v>
      </c>
      <c r="E5356" s="5">
        <v>1.2689999999999999</v>
      </c>
      <c r="F5356" s="5">
        <v>0.41599999999999998</v>
      </c>
    </row>
    <row r="5357" spans="2:6" x14ac:dyDescent="0.2">
      <c r="B5357" s="9" t="s">
        <v>7629</v>
      </c>
      <c r="C5357" s="15" t="s">
        <v>2641</v>
      </c>
      <c r="D5357" s="12" t="str">
        <f>"0266-8920"</f>
        <v>0266-8920</v>
      </c>
      <c r="E5357" s="5">
        <v>3.35</v>
      </c>
      <c r="F5357" s="5">
        <v>0.85599999999999998</v>
      </c>
    </row>
    <row r="5358" spans="2:6" x14ac:dyDescent="0.2">
      <c r="B5358" s="9" t="s">
        <v>11580</v>
      </c>
      <c r="C5358" s="15" t="s">
        <v>11581</v>
      </c>
      <c r="D5358" s="12" t="str">
        <f>"0208-4147"</f>
        <v>0208-4147</v>
      </c>
      <c r="E5358" s="5">
        <v>0.56000000000000005</v>
      </c>
      <c r="F5358" s="5">
        <v>4.8000000000000001E-2</v>
      </c>
    </row>
    <row r="5359" spans="2:6" x14ac:dyDescent="0.2">
      <c r="B5359" s="9" t="s">
        <v>7628</v>
      </c>
      <c r="C5359" s="15" t="s">
        <v>2640</v>
      </c>
      <c r="D5359" s="12" t="str">
        <f>"0178-8051"</f>
        <v>0178-8051</v>
      </c>
      <c r="E5359" s="5">
        <v>2.391</v>
      </c>
      <c r="F5359" s="5">
        <v>0.74399999999999999</v>
      </c>
    </row>
    <row r="5360" spans="2:6" x14ac:dyDescent="0.2">
      <c r="B5360" s="9" t="s">
        <v>11582</v>
      </c>
      <c r="C5360" s="15" t="s">
        <v>11583</v>
      </c>
      <c r="D5360" s="12" t="str">
        <f>"1867-1306"</f>
        <v>1867-1306</v>
      </c>
      <c r="E5360" s="5">
        <v>4.609</v>
      </c>
      <c r="F5360" s="5">
        <v>0.747</v>
      </c>
    </row>
    <row r="5361" spans="2:6" x14ac:dyDescent="0.2">
      <c r="B5361" s="9" t="s">
        <v>7630</v>
      </c>
      <c r="C5361" s="15" t="s">
        <v>2642</v>
      </c>
      <c r="D5361" s="12" t="str">
        <f>"1359-5113"</f>
        <v>1359-5113</v>
      </c>
      <c r="E5361" s="5">
        <v>3.7570000000000001</v>
      </c>
      <c r="F5361" s="5">
        <v>0.65700000000000003</v>
      </c>
    </row>
    <row r="5362" spans="2:6" x14ac:dyDescent="0.2">
      <c r="B5362" s="9" t="s">
        <v>11584</v>
      </c>
      <c r="C5362" s="15" t="s">
        <v>11585</v>
      </c>
      <c r="D5362" s="12" t="str">
        <f>"1386-6710"</f>
        <v>1386-6710</v>
      </c>
      <c r="E5362" s="5">
        <v>2.2530000000000001</v>
      </c>
      <c r="F5362" s="5">
        <v>0.49399999999999999</v>
      </c>
    </row>
    <row r="5363" spans="2:6" x14ac:dyDescent="0.2">
      <c r="B5363" s="9" t="s">
        <v>961</v>
      </c>
      <c r="C5363" s="15" t="s">
        <v>962</v>
      </c>
      <c r="D5363" s="12" t="str">
        <f>"0735-7028"</f>
        <v>0735-7028</v>
      </c>
      <c r="E5363" s="5">
        <v>1.716</v>
      </c>
      <c r="F5363" s="5">
        <v>0.39600000000000002</v>
      </c>
    </row>
    <row r="5364" spans="2:6" x14ac:dyDescent="0.2">
      <c r="B5364" s="9" t="s">
        <v>7631</v>
      </c>
      <c r="C5364" s="15" t="s">
        <v>2643</v>
      </c>
      <c r="D5364" s="12" t="str">
        <f>"1000-3282"</f>
        <v>1000-3282</v>
      </c>
      <c r="E5364" s="5">
        <v>0.35099999999999998</v>
      </c>
      <c r="F5364" s="5">
        <v>1.4E-2</v>
      </c>
    </row>
    <row r="5365" spans="2:6" x14ac:dyDescent="0.2">
      <c r="B5365" s="9" t="s">
        <v>7632</v>
      </c>
      <c r="C5365" s="15" t="s">
        <v>2644</v>
      </c>
      <c r="D5365" s="12" t="str">
        <f>"0079-6107"</f>
        <v>0079-6107</v>
      </c>
      <c r="E5365" s="5">
        <v>3.6669999999999998</v>
      </c>
      <c r="F5365" s="5">
        <v>0.60599999999999998</v>
      </c>
    </row>
    <row r="5366" spans="2:6" x14ac:dyDescent="0.2">
      <c r="B5366" s="9" t="s">
        <v>11586</v>
      </c>
      <c r="C5366" s="15" t="s">
        <v>11587</v>
      </c>
      <c r="D5366" s="12" t="str">
        <f>"0079-6123"</f>
        <v>0079-6123</v>
      </c>
      <c r="E5366" s="5">
        <v>2.4529999999999998</v>
      </c>
      <c r="F5366" s="5">
        <v>0.249</v>
      </c>
    </row>
    <row r="5367" spans="2:6" x14ac:dyDescent="0.2">
      <c r="B5367" s="9" t="s">
        <v>7633</v>
      </c>
      <c r="C5367" s="15" t="s">
        <v>2645</v>
      </c>
      <c r="D5367" s="12" t="str">
        <f>"0033-0620"</f>
        <v>0033-0620</v>
      </c>
      <c r="E5367" s="5">
        <v>8.1940000000000008</v>
      </c>
      <c r="F5367" s="5">
        <v>0.88700000000000001</v>
      </c>
    </row>
    <row r="5368" spans="2:6" x14ac:dyDescent="0.2">
      <c r="B5368" s="9" t="s">
        <v>7634</v>
      </c>
      <c r="C5368" s="15" t="s">
        <v>2646</v>
      </c>
      <c r="D5368" s="12" t="str">
        <f>"1005-281X"</f>
        <v>1005-281X</v>
      </c>
      <c r="E5368" s="5">
        <v>1.1719999999999999</v>
      </c>
      <c r="F5368" s="5">
        <v>0.191</v>
      </c>
    </row>
    <row r="5369" spans="2:6" x14ac:dyDescent="0.2">
      <c r="B5369" s="9" t="s">
        <v>11588</v>
      </c>
      <c r="C5369" s="15" t="s">
        <v>11589</v>
      </c>
      <c r="D5369" s="12" t="str">
        <f>"1557-0541"</f>
        <v>1557-0541</v>
      </c>
      <c r="E5369" s="5">
        <v>1.1919999999999999</v>
      </c>
      <c r="F5369" s="5">
        <v>0.106</v>
      </c>
    </row>
    <row r="5370" spans="2:6" x14ac:dyDescent="0.2">
      <c r="B5370" s="9" t="s">
        <v>7635</v>
      </c>
      <c r="C5370" s="15" t="s">
        <v>2647</v>
      </c>
      <c r="D5370" s="12" t="str">
        <f>"0360-1285"</f>
        <v>0360-1285</v>
      </c>
      <c r="E5370" s="5">
        <v>29.393999999999998</v>
      </c>
      <c r="F5370" s="5">
        <v>1</v>
      </c>
    </row>
    <row r="5371" spans="2:6" x14ac:dyDescent="0.2">
      <c r="B5371" s="9" t="s">
        <v>7636</v>
      </c>
      <c r="C5371" s="15" t="s">
        <v>2648</v>
      </c>
      <c r="D5371" s="12" t="str">
        <f>"1873-2194"</f>
        <v>1873-2194</v>
      </c>
      <c r="E5371" s="5">
        <v>16.195</v>
      </c>
      <c r="F5371" s="5">
        <v>1</v>
      </c>
    </row>
    <row r="5372" spans="2:6" x14ac:dyDescent="0.2">
      <c r="B5372" s="9" t="s">
        <v>11590</v>
      </c>
      <c r="C5372" s="15" t="s">
        <v>11591</v>
      </c>
      <c r="D5372" s="12" t="str">
        <f>"1877-1173"</f>
        <v>1877-1173</v>
      </c>
      <c r="E5372" s="5">
        <v>3.6219999999999999</v>
      </c>
      <c r="F5372" s="5">
        <v>0.432</v>
      </c>
    </row>
    <row r="5373" spans="2:6" x14ac:dyDescent="0.2">
      <c r="B5373" s="9" t="s">
        <v>11592</v>
      </c>
      <c r="C5373" s="15" t="s">
        <v>11593</v>
      </c>
      <c r="D5373" s="12" t="str">
        <f>"1002-0071"</f>
        <v>1002-0071</v>
      </c>
      <c r="E5373" s="5">
        <v>3.6070000000000002</v>
      </c>
      <c r="F5373" s="5">
        <v>0.54400000000000004</v>
      </c>
    </row>
    <row r="5374" spans="2:6" x14ac:dyDescent="0.2">
      <c r="B5374" s="9" t="s">
        <v>7637</v>
      </c>
      <c r="C5374" s="15" t="s">
        <v>2649</v>
      </c>
      <c r="D5374" s="12" t="str">
        <f>"1873-5118"</f>
        <v>1873-5118</v>
      </c>
      <c r="E5374" s="5">
        <v>11.685</v>
      </c>
      <c r="F5374" s="5">
        <v>0.94899999999999995</v>
      </c>
    </row>
    <row r="5375" spans="2:6" x14ac:dyDescent="0.2">
      <c r="B5375" s="9" t="s">
        <v>7638</v>
      </c>
      <c r="C5375" s="15" t="s">
        <v>2650</v>
      </c>
      <c r="D5375" s="12" t="str">
        <f>"0278-5846"</f>
        <v>0278-5846</v>
      </c>
      <c r="E5375" s="5">
        <v>5.0670000000000002</v>
      </c>
      <c r="F5375" s="5">
        <v>0.82899999999999996</v>
      </c>
    </row>
    <row r="5376" spans="2:6" x14ac:dyDescent="0.2">
      <c r="B5376" s="9" t="s">
        <v>963</v>
      </c>
      <c r="C5376" s="15" t="s">
        <v>964</v>
      </c>
      <c r="D5376" s="12" t="str">
        <f>"1129-8723"</f>
        <v>1129-8723</v>
      </c>
      <c r="E5376" s="5">
        <v>0.53800000000000003</v>
      </c>
      <c r="F5376" s="5">
        <v>6.8000000000000005E-2</v>
      </c>
    </row>
    <row r="5377" spans="2:6" x14ac:dyDescent="0.2">
      <c r="B5377" s="9" t="s">
        <v>11594</v>
      </c>
      <c r="C5377" s="15" t="s">
        <v>11595</v>
      </c>
      <c r="D5377" s="12" t="str">
        <f>"0079-6638"</f>
        <v>0079-6638</v>
      </c>
      <c r="E5377" s="5">
        <v>4.2859999999999996</v>
      </c>
      <c r="F5377" s="5">
        <v>0.84799999999999998</v>
      </c>
    </row>
    <row r="5378" spans="2:6" x14ac:dyDescent="0.2">
      <c r="B5378" s="9" t="s">
        <v>11596</v>
      </c>
      <c r="C5378" s="15" t="s">
        <v>11597</v>
      </c>
      <c r="D5378" s="12" t="str">
        <f>"2196-1042"</f>
        <v>2196-1042</v>
      </c>
      <c r="E5378" s="5">
        <v>2.75</v>
      </c>
      <c r="F5378" s="5">
        <v>0.60399999999999998</v>
      </c>
    </row>
    <row r="5379" spans="2:6" x14ac:dyDescent="0.2">
      <c r="B5379" s="9" t="s">
        <v>11598</v>
      </c>
      <c r="C5379" s="15" t="s">
        <v>11599</v>
      </c>
      <c r="D5379" s="12" t="str">
        <f>"0079-6727"</f>
        <v>0079-6727</v>
      </c>
      <c r="E5379" s="5">
        <v>12.25</v>
      </c>
      <c r="F5379" s="5">
        <v>1</v>
      </c>
    </row>
    <row r="5380" spans="2:6" x14ac:dyDescent="0.2">
      <c r="B5380" s="9" t="s">
        <v>7639</v>
      </c>
      <c r="C5380" s="15" t="s">
        <v>2651</v>
      </c>
      <c r="D5380" s="12" t="str">
        <f>"1873-1635"</f>
        <v>1873-1635</v>
      </c>
      <c r="E5380" s="5">
        <v>21.198</v>
      </c>
      <c r="F5380" s="5">
        <v>1</v>
      </c>
    </row>
    <row r="5381" spans="2:6" x14ac:dyDescent="0.2">
      <c r="B5381" s="9" t="s">
        <v>11600</v>
      </c>
      <c r="C5381" s="15" t="s">
        <v>11601</v>
      </c>
      <c r="D5381" s="12" t="str">
        <f>"1526-9248"</f>
        <v>1526-9248</v>
      </c>
      <c r="E5381" s="5">
        <v>1.1870000000000001</v>
      </c>
      <c r="F5381" s="5">
        <v>0.13800000000000001</v>
      </c>
    </row>
    <row r="5382" spans="2:6" x14ac:dyDescent="0.2">
      <c r="B5382" s="9" t="s">
        <v>7640</v>
      </c>
      <c r="C5382" s="15" t="s">
        <v>2652</v>
      </c>
      <c r="D5382" s="12" t="str">
        <f>"1166-7087"</f>
        <v>1166-7087</v>
      </c>
      <c r="E5382" s="5">
        <v>0.91500000000000004</v>
      </c>
      <c r="F5382" s="5">
        <v>7.9000000000000001E-2</v>
      </c>
    </row>
    <row r="5383" spans="2:6" ht="25.5" x14ac:dyDescent="0.2">
      <c r="B5383" s="9" t="s">
        <v>870</v>
      </c>
      <c r="C5383" s="15" t="s">
        <v>11602</v>
      </c>
      <c r="D5383" s="12" t="str">
        <f>"1454-9069"</f>
        <v>1454-9069</v>
      </c>
      <c r="E5383" s="5">
        <v>1.5229999999999999</v>
      </c>
      <c r="F5383" s="5">
        <v>0.34699999999999998</v>
      </c>
    </row>
    <row r="5384" spans="2:6" x14ac:dyDescent="0.2">
      <c r="B5384" s="9" t="s">
        <v>11603</v>
      </c>
      <c r="C5384" s="15" t="s">
        <v>11604</v>
      </c>
      <c r="D5384" s="12" t="str">
        <f>"2212-540X"</f>
        <v>2212-540X</v>
      </c>
      <c r="E5384" s="5">
        <v>3.738</v>
      </c>
      <c r="F5384" s="5">
        <v>0.91200000000000003</v>
      </c>
    </row>
    <row r="5385" spans="2:6" x14ac:dyDescent="0.2">
      <c r="B5385" s="9" t="s">
        <v>7641</v>
      </c>
      <c r="C5385" s="15" t="s">
        <v>2653</v>
      </c>
      <c r="D5385" s="12" t="str">
        <f>"0952-3278"</f>
        <v>0952-3278</v>
      </c>
      <c r="E5385" s="5">
        <v>4.0060000000000002</v>
      </c>
      <c r="F5385" s="5">
        <v>0.53700000000000003</v>
      </c>
    </row>
    <row r="5386" spans="2:6" x14ac:dyDescent="0.2">
      <c r="B5386" s="9" t="s">
        <v>7642</v>
      </c>
      <c r="C5386" s="15" t="s">
        <v>2654</v>
      </c>
      <c r="D5386" s="12" t="str">
        <f>"1098-8823"</f>
        <v>1098-8823</v>
      </c>
      <c r="E5386" s="5">
        <v>3.0720000000000001</v>
      </c>
      <c r="F5386" s="5">
        <v>0.34499999999999997</v>
      </c>
    </row>
    <row r="5387" spans="2:6" x14ac:dyDescent="0.2">
      <c r="B5387" s="9" t="s">
        <v>7419</v>
      </c>
      <c r="C5387" s="15" t="s">
        <v>7419</v>
      </c>
      <c r="D5387" s="12" t="str">
        <f>"0270-4137"</f>
        <v>0270-4137</v>
      </c>
      <c r="E5387" s="5">
        <v>4.1040000000000001</v>
      </c>
      <c r="F5387" s="5">
        <v>0.753</v>
      </c>
    </row>
    <row r="5388" spans="2:6" x14ac:dyDescent="0.2">
      <c r="B5388" s="9" t="s">
        <v>7420</v>
      </c>
      <c r="C5388" s="15" t="s">
        <v>2655</v>
      </c>
      <c r="D5388" s="12" t="str">
        <f>"1365-7852"</f>
        <v>1365-7852</v>
      </c>
      <c r="E5388" s="5">
        <v>5.5540000000000003</v>
      </c>
      <c r="F5388" s="5">
        <v>0.83099999999999996</v>
      </c>
    </row>
    <row r="5389" spans="2:6" x14ac:dyDescent="0.2">
      <c r="B5389" s="9" t="s">
        <v>11605</v>
      </c>
      <c r="C5389" s="15" t="s">
        <v>11606</v>
      </c>
      <c r="D5389" s="12" t="str">
        <f>"2287-8882"</f>
        <v>2287-8882</v>
      </c>
      <c r="E5389" s="5">
        <v>2.286</v>
      </c>
      <c r="F5389" s="5">
        <v>0.32600000000000001</v>
      </c>
    </row>
    <row r="5390" spans="2:6" x14ac:dyDescent="0.2">
      <c r="B5390" s="9" t="s">
        <v>7421</v>
      </c>
      <c r="C5390" s="15" t="s">
        <v>2656</v>
      </c>
      <c r="D5390" s="12" t="str">
        <f>"0309-3646"</f>
        <v>0309-3646</v>
      </c>
      <c r="E5390" s="5">
        <v>1.895</v>
      </c>
      <c r="F5390" s="5">
        <v>0.38700000000000001</v>
      </c>
    </row>
    <row r="5391" spans="2:6" x14ac:dyDescent="0.2">
      <c r="B5391" s="9" t="s">
        <v>11607</v>
      </c>
      <c r="C5391" s="15" t="s">
        <v>11608</v>
      </c>
      <c r="D5391" s="12" t="str">
        <f>"1674-800X"</f>
        <v>1674-800X</v>
      </c>
      <c r="E5391" s="5">
        <v>14.87</v>
      </c>
      <c r="F5391" s="5">
        <v>0.91700000000000004</v>
      </c>
    </row>
    <row r="5392" spans="2:6" x14ac:dyDescent="0.2">
      <c r="B5392" s="9" t="s">
        <v>7422</v>
      </c>
      <c r="C5392" s="15" t="s">
        <v>2657</v>
      </c>
      <c r="D5392" s="12" t="str">
        <f>"1741-0126"</f>
        <v>1741-0126</v>
      </c>
      <c r="E5392" s="5">
        <v>1.65</v>
      </c>
      <c r="F5392" s="5">
        <v>9.5000000000000001E-2</v>
      </c>
    </row>
    <row r="5393" spans="2:6" x14ac:dyDescent="0.2">
      <c r="B5393" s="9" t="s">
        <v>7423</v>
      </c>
      <c r="C5393" s="15" t="s">
        <v>2658</v>
      </c>
      <c r="D5393" s="12" t="str">
        <f>"1096-0279"</f>
        <v>1096-0279</v>
      </c>
      <c r="E5393" s="5">
        <v>1.65</v>
      </c>
      <c r="F5393" s="5">
        <v>0.13</v>
      </c>
    </row>
    <row r="5394" spans="2:6" x14ac:dyDescent="0.2">
      <c r="B5394" s="9" t="s">
        <v>7424</v>
      </c>
      <c r="C5394" s="15" t="s">
        <v>2659</v>
      </c>
      <c r="D5394" s="12" t="str">
        <f>"1572-3887"</f>
        <v>1572-3887</v>
      </c>
      <c r="E5394" s="5">
        <v>2.371</v>
      </c>
      <c r="F5394" s="5">
        <v>0.216</v>
      </c>
    </row>
    <row r="5395" spans="2:6" x14ac:dyDescent="0.2">
      <c r="B5395" s="9" t="s">
        <v>7425</v>
      </c>
      <c r="C5395" s="15" t="s">
        <v>2660</v>
      </c>
      <c r="D5395" s="12" t="str">
        <f>"0929-8665"</f>
        <v>0929-8665</v>
      </c>
      <c r="E5395" s="5">
        <v>1.89</v>
      </c>
      <c r="F5395" s="5">
        <v>0.13200000000000001</v>
      </c>
    </row>
    <row r="5396" spans="2:6" x14ac:dyDescent="0.2">
      <c r="B5396" s="9" t="s">
        <v>7427</v>
      </c>
      <c r="C5396" s="15" t="s">
        <v>2662</v>
      </c>
      <c r="D5396" s="12" t="str">
        <f>"0887-3585"</f>
        <v>0887-3585</v>
      </c>
      <c r="E5396" s="5">
        <v>3.7559999999999998</v>
      </c>
      <c r="F5396" s="5">
        <v>0.64800000000000002</v>
      </c>
    </row>
    <row r="5397" spans="2:6" x14ac:dyDescent="0.2">
      <c r="B5397" s="9" t="s">
        <v>7426</v>
      </c>
      <c r="C5397" s="15" t="s">
        <v>2661</v>
      </c>
      <c r="D5397" s="12" t="str">
        <f>"0961-8368"</f>
        <v>0961-8368</v>
      </c>
      <c r="E5397" s="5">
        <v>6.7249999999999996</v>
      </c>
      <c r="F5397" s="5">
        <v>0.81399999999999995</v>
      </c>
    </row>
    <row r="5398" spans="2:6" x14ac:dyDescent="0.2">
      <c r="B5398" s="9" t="s">
        <v>965</v>
      </c>
      <c r="C5398" s="15" t="s">
        <v>966</v>
      </c>
      <c r="D5398" s="12" t="str">
        <f>"1862-8346"</f>
        <v>1862-8346</v>
      </c>
      <c r="E5398" s="5">
        <v>3.4940000000000002</v>
      </c>
      <c r="F5398" s="5">
        <v>0.623</v>
      </c>
    </row>
    <row r="5399" spans="2:6" x14ac:dyDescent="0.2">
      <c r="B5399" s="9" t="s">
        <v>967</v>
      </c>
      <c r="C5399" s="15" t="s">
        <v>968</v>
      </c>
      <c r="D5399" s="12" t="str">
        <f>"1477-5956"</f>
        <v>1477-5956</v>
      </c>
      <c r="E5399" s="5">
        <v>2.48</v>
      </c>
      <c r="F5399" s="5">
        <v>0.377</v>
      </c>
    </row>
    <row r="5400" spans="2:6" x14ac:dyDescent="0.2">
      <c r="B5400" s="9" t="s">
        <v>7428</v>
      </c>
      <c r="C5400" s="15" t="s">
        <v>7428</v>
      </c>
      <c r="D5400" s="12" t="str">
        <f>"1615-9853"</f>
        <v>1615-9853</v>
      </c>
      <c r="E5400" s="5">
        <v>3.984</v>
      </c>
      <c r="F5400" s="5">
        <v>0.71399999999999997</v>
      </c>
    </row>
    <row r="5401" spans="2:6" x14ac:dyDescent="0.2">
      <c r="B5401" s="9" t="s">
        <v>7429</v>
      </c>
      <c r="C5401" s="15" t="s">
        <v>7429</v>
      </c>
      <c r="D5401" s="12" t="str">
        <f>"1434-4610"</f>
        <v>1434-4610</v>
      </c>
      <c r="E5401" s="5">
        <v>2.5659999999999998</v>
      </c>
      <c r="F5401" s="5">
        <v>0.27400000000000002</v>
      </c>
    </row>
    <row r="5402" spans="2:6" x14ac:dyDescent="0.2">
      <c r="B5402" s="9" t="s">
        <v>7430</v>
      </c>
      <c r="C5402" s="15" t="s">
        <v>7430</v>
      </c>
      <c r="D5402" s="12" t="str">
        <f>"0033-183X"</f>
        <v>0033-183X</v>
      </c>
      <c r="E5402" s="5">
        <v>3.3559999999999999</v>
      </c>
      <c r="F5402" s="5">
        <v>0.74</v>
      </c>
    </row>
    <row r="5403" spans="2:6" ht="25.5" x14ac:dyDescent="0.2">
      <c r="B5403" s="9" t="s">
        <v>11609</v>
      </c>
      <c r="C5403" s="15" t="s">
        <v>11610</v>
      </c>
      <c r="D5403" s="12" t="str">
        <f>"1364-5021"</f>
        <v>1364-5021</v>
      </c>
      <c r="E5403" s="5">
        <v>2.7040000000000002</v>
      </c>
      <c r="F5403" s="5">
        <v>0.54200000000000004</v>
      </c>
    </row>
    <row r="5404" spans="2:6" x14ac:dyDescent="0.2">
      <c r="B5404" s="9" t="s">
        <v>11611</v>
      </c>
      <c r="C5404" s="15" t="s">
        <v>11612</v>
      </c>
      <c r="D5404" s="12" t="str">
        <f>"0962-8452"</f>
        <v>0962-8452</v>
      </c>
      <c r="E5404" s="5">
        <v>5.3490000000000002</v>
      </c>
      <c r="F5404" s="5">
        <v>0.871</v>
      </c>
    </row>
    <row r="5405" spans="2:6" x14ac:dyDescent="0.2">
      <c r="B5405" s="9" t="s">
        <v>7431</v>
      </c>
      <c r="C5405" s="15" t="s">
        <v>2663</v>
      </c>
      <c r="D5405" s="12" t="str">
        <f>"0033-2496"</f>
        <v>0033-2496</v>
      </c>
      <c r="E5405" s="5">
        <v>0.46400000000000002</v>
      </c>
      <c r="F5405" s="5">
        <v>7.0000000000000007E-2</v>
      </c>
    </row>
    <row r="5406" spans="2:6" x14ac:dyDescent="0.2">
      <c r="B5406" s="9" t="s">
        <v>11613</v>
      </c>
      <c r="C5406" s="15" t="s">
        <v>11614</v>
      </c>
      <c r="D5406" s="12" t="str">
        <f>"1135-755X"</f>
        <v>1135-755X</v>
      </c>
      <c r="E5406" s="5">
        <v>1.25</v>
      </c>
      <c r="F5406" s="5">
        <v>0.245</v>
      </c>
    </row>
    <row r="5407" spans="2:6" x14ac:dyDescent="0.2">
      <c r="B5407" s="9" t="s">
        <v>969</v>
      </c>
      <c r="C5407" s="15" t="s">
        <v>970</v>
      </c>
      <c r="D5407" s="12" t="str">
        <f>"0211-2159"</f>
        <v>0211-2159</v>
      </c>
      <c r="E5407" s="5">
        <v>0.7</v>
      </c>
      <c r="F5407" s="5">
        <v>1.0999999999999999E-2</v>
      </c>
    </row>
    <row r="5408" spans="2:6" x14ac:dyDescent="0.2">
      <c r="B5408" s="9" t="s">
        <v>11615</v>
      </c>
      <c r="C5408" s="15" t="s">
        <v>11616</v>
      </c>
      <c r="D5408" s="12" t="str">
        <f>"0102-7972"</f>
        <v>0102-7972</v>
      </c>
      <c r="E5408" s="5">
        <v>1.429</v>
      </c>
      <c r="F5408" s="5">
        <v>0.28799999999999998</v>
      </c>
    </row>
    <row r="5409" spans="2:6" x14ac:dyDescent="0.2">
      <c r="B5409" s="9" t="s">
        <v>971</v>
      </c>
      <c r="C5409" s="15" t="s">
        <v>971</v>
      </c>
      <c r="D5409" s="12" t="str">
        <f>"0214-9915"</f>
        <v>0214-9915</v>
      </c>
      <c r="E5409" s="5">
        <v>3.89</v>
      </c>
      <c r="F5409" s="5">
        <v>0.79900000000000004</v>
      </c>
    </row>
    <row r="5410" spans="2:6" x14ac:dyDescent="0.2">
      <c r="B5410" s="9" t="s">
        <v>11617</v>
      </c>
      <c r="C5410" s="15" t="s">
        <v>11618</v>
      </c>
      <c r="D5410" s="12" t="str">
        <f>"0048-5705"</f>
        <v>0048-5705</v>
      </c>
      <c r="E5410" s="5">
        <v>1.1399999999999999</v>
      </c>
      <c r="F5410" s="5">
        <v>0.216</v>
      </c>
    </row>
    <row r="5411" spans="2:6" x14ac:dyDescent="0.2">
      <c r="B5411" s="9" t="s">
        <v>972</v>
      </c>
      <c r="C5411" s="15" t="s">
        <v>973</v>
      </c>
      <c r="D5411" s="12" t="str">
        <f>"0205-9592"</f>
        <v>0205-9592</v>
      </c>
      <c r="E5411" s="5">
        <v>0.54800000000000004</v>
      </c>
      <c r="F5411" s="5">
        <v>6.5000000000000002E-2</v>
      </c>
    </row>
    <row r="5412" spans="2:6" x14ac:dyDescent="0.2">
      <c r="B5412" s="9" t="s">
        <v>974</v>
      </c>
      <c r="C5412" s="15" t="s">
        <v>975</v>
      </c>
      <c r="D5412" s="12" t="str">
        <f>"0033-2623"</f>
        <v>0033-2623</v>
      </c>
      <c r="E5412" s="5">
        <v>0.58399999999999996</v>
      </c>
      <c r="F5412" s="5">
        <v>0.61499999999999999</v>
      </c>
    </row>
    <row r="5413" spans="2:6" x14ac:dyDescent="0.2">
      <c r="B5413" s="9" t="s">
        <v>976</v>
      </c>
      <c r="C5413" s="15" t="s">
        <v>977</v>
      </c>
      <c r="D5413" s="12" t="str">
        <f>"0048-5713"</f>
        <v>0048-5713</v>
      </c>
      <c r="E5413" s="5">
        <v>0.39</v>
      </c>
      <c r="F5413" s="5">
        <v>2.8000000000000001E-2</v>
      </c>
    </row>
    <row r="5414" spans="2:6" x14ac:dyDescent="0.2">
      <c r="B5414" s="9" t="s">
        <v>978</v>
      </c>
      <c r="C5414" s="15" t="s">
        <v>979</v>
      </c>
      <c r="D5414" s="12" t="str">
        <f>"0193-953X"</f>
        <v>0193-953X</v>
      </c>
      <c r="E5414" s="5">
        <v>3.411</v>
      </c>
      <c r="F5414" s="5">
        <v>0.59699999999999998</v>
      </c>
    </row>
    <row r="5415" spans="2:6" x14ac:dyDescent="0.2">
      <c r="B5415" s="9" t="s">
        <v>7432</v>
      </c>
      <c r="C5415" s="15" t="s">
        <v>2664</v>
      </c>
      <c r="D5415" s="12" t="str">
        <f>"1323-1316"</f>
        <v>1323-1316</v>
      </c>
      <c r="E5415" s="5">
        <v>5.1879999999999997</v>
      </c>
      <c r="F5415" s="5">
        <v>0.83799999999999997</v>
      </c>
    </row>
    <row r="5416" spans="2:6" x14ac:dyDescent="0.2">
      <c r="B5416" s="9" t="s">
        <v>11619</v>
      </c>
      <c r="C5416" s="15" t="s">
        <v>11620</v>
      </c>
      <c r="D5416" s="12" t="str">
        <f>"2475-0573"</f>
        <v>2475-0573</v>
      </c>
      <c r="E5416" s="5">
        <v>1.181</v>
      </c>
      <c r="F5416" s="5">
        <v>0.13900000000000001</v>
      </c>
    </row>
    <row r="5417" spans="2:6" x14ac:dyDescent="0.2">
      <c r="B5417" s="9" t="s">
        <v>980</v>
      </c>
      <c r="C5417" s="15" t="s">
        <v>981</v>
      </c>
      <c r="D5417" s="12" t="str">
        <f>"0353-5053"</f>
        <v>0353-5053</v>
      </c>
      <c r="E5417" s="5">
        <v>1.0629999999999999</v>
      </c>
      <c r="F5417" s="5">
        <v>0.12</v>
      </c>
    </row>
    <row r="5418" spans="2:6" x14ac:dyDescent="0.2">
      <c r="B5418" s="9" t="s">
        <v>982</v>
      </c>
      <c r="C5418" s="15" t="s">
        <v>983</v>
      </c>
      <c r="D5418" s="12" t="str">
        <f>"0079-726X"</f>
        <v>0079-726X</v>
      </c>
      <c r="E5418" s="5">
        <v>8.6999999999999994E-2</v>
      </c>
      <c r="F5418" s="5">
        <v>5.0000000000000001E-3</v>
      </c>
    </row>
    <row r="5419" spans="2:6" x14ac:dyDescent="0.2">
      <c r="B5419" s="9" t="s">
        <v>7433</v>
      </c>
      <c r="C5419" s="15" t="s">
        <v>2665</v>
      </c>
      <c r="D5419" s="12" t="str">
        <f>"0955-8829"</f>
        <v>0955-8829</v>
      </c>
      <c r="E5419" s="5">
        <v>2.4580000000000002</v>
      </c>
      <c r="F5419" s="5">
        <v>0.33700000000000002</v>
      </c>
    </row>
    <row r="5420" spans="2:6" x14ac:dyDescent="0.2">
      <c r="B5420" s="9" t="s">
        <v>11621</v>
      </c>
      <c r="C5420" s="15" t="s">
        <v>11622</v>
      </c>
      <c r="D5420" s="12" t="str">
        <f>"1738-3684"</f>
        <v>1738-3684</v>
      </c>
      <c r="E5420" s="5">
        <v>2.5049999999999999</v>
      </c>
      <c r="F5420" s="5">
        <v>0.38900000000000001</v>
      </c>
    </row>
    <row r="5421" spans="2:6" x14ac:dyDescent="0.2">
      <c r="B5421" s="9" t="s">
        <v>984</v>
      </c>
      <c r="C5421" s="15" t="s">
        <v>985</v>
      </c>
      <c r="D5421" s="12" t="str">
        <f>"0303-4259"</f>
        <v>0303-4259</v>
      </c>
      <c r="E5421" s="5">
        <v>1.5229999999999999</v>
      </c>
      <c r="F5421" s="5">
        <v>0.19400000000000001</v>
      </c>
    </row>
    <row r="5422" spans="2:6" x14ac:dyDescent="0.2">
      <c r="B5422" s="9" t="s">
        <v>11623</v>
      </c>
      <c r="C5422" s="15" t="s">
        <v>11624</v>
      </c>
      <c r="D5422" s="12" t="str">
        <f>"1321-8719"</f>
        <v>1321-8719</v>
      </c>
      <c r="E5422" s="5">
        <v>1.2230000000000001</v>
      </c>
      <c r="F5422" s="5">
        <v>0.44400000000000001</v>
      </c>
    </row>
    <row r="5423" spans="2:6" x14ac:dyDescent="0.2">
      <c r="B5423" s="9" t="s">
        <v>986</v>
      </c>
      <c r="C5423" s="15" t="s">
        <v>987</v>
      </c>
      <c r="D5423" s="12" t="str">
        <f>"0033-2720"</f>
        <v>0033-2720</v>
      </c>
      <c r="E5423" s="5">
        <v>2.8319999999999999</v>
      </c>
      <c r="F5423" s="5">
        <v>0.44900000000000001</v>
      </c>
    </row>
    <row r="5424" spans="2:6" x14ac:dyDescent="0.2">
      <c r="B5424" s="9" t="s">
        <v>7434</v>
      </c>
      <c r="C5424" s="15" t="s">
        <v>2666</v>
      </c>
      <c r="D5424" s="12" t="str">
        <f>"0165-1781"</f>
        <v>0165-1781</v>
      </c>
      <c r="E5424" s="5">
        <v>3.222</v>
      </c>
      <c r="F5424" s="5">
        <v>0.55600000000000005</v>
      </c>
    </row>
    <row r="5425" spans="2:6" x14ac:dyDescent="0.2">
      <c r="B5425" s="9" t="s">
        <v>7435</v>
      </c>
      <c r="C5425" s="15" t="s">
        <v>2667</v>
      </c>
      <c r="D5425" s="12" t="str">
        <f>"0925-4927"</f>
        <v>0925-4927</v>
      </c>
      <c r="E5425" s="5">
        <v>2.3759999999999999</v>
      </c>
      <c r="F5425" s="5">
        <v>0.38500000000000001</v>
      </c>
    </row>
    <row r="5426" spans="2:6" x14ac:dyDescent="0.2">
      <c r="B5426" s="9" t="s">
        <v>988</v>
      </c>
      <c r="C5426" s="15" t="s">
        <v>989</v>
      </c>
      <c r="D5426" s="12" t="str">
        <f>"0033-2674"</f>
        <v>0033-2674</v>
      </c>
      <c r="E5426" s="5">
        <v>1.657</v>
      </c>
      <c r="F5426" s="5">
        <v>0.21299999999999999</v>
      </c>
    </row>
    <row r="5427" spans="2:6" x14ac:dyDescent="0.2">
      <c r="B5427" s="9" t="s">
        <v>990</v>
      </c>
      <c r="C5427" s="15" t="s">
        <v>991</v>
      </c>
      <c r="D5427" s="12" t="str">
        <f>"1095-158X"</f>
        <v>1095-158X</v>
      </c>
      <c r="E5427" s="5">
        <v>1.9350000000000001</v>
      </c>
      <c r="F5427" s="5">
        <v>0.42</v>
      </c>
    </row>
    <row r="5428" spans="2:6" x14ac:dyDescent="0.2">
      <c r="B5428" s="9" t="s">
        <v>5633</v>
      </c>
      <c r="C5428" s="15" t="s">
        <v>2669</v>
      </c>
      <c r="D5428" s="12" t="str">
        <f>"0033-2747"</f>
        <v>0033-2747</v>
      </c>
      <c r="E5428" s="5">
        <v>2.4580000000000002</v>
      </c>
      <c r="F5428" s="5">
        <v>0.38400000000000001</v>
      </c>
    </row>
    <row r="5429" spans="2:6" x14ac:dyDescent="0.2">
      <c r="B5429" s="9" t="s">
        <v>7436</v>
      </c>
      <c r="C5429" s="15" t="s">
        <v>2668</v>
      </c>
      <c r="D5429" s="12" t="str">
        <f>"1557-9700"</f>
        <v>1557-9700</v>
      </c>
      <c r="E5429" s="5">
        <v>3.0840000000000001</v>
      </c>
      <c r="F5429" s="5">
        <v>0.67</v>
      </c>
    </row>
    <row r="5430" spans="2:6" x14ac:dyDescent="0.2">
      <c r="B5430" s="9" t="s">
        <v>11625</v>
      </c>
      <c r="C5430" s="15" t="s">
        <v>11626</v>
      </c>
      <c r="D5430" s="12" t="str">
        <f>"2046-0252"</f>
        <v>2046-0252</v>
      </c>
      <c r="E5430" s="5">
        <v>1.5129999999999999</v>
      </c>
      <c r="F5430" s="5">
        <v>0.32400000000000001</v>
      </c>
    </row>
    <row r="5431" spans="2:6" x14ac:dyDescent="0.2">
      <c r="B5431" s="9" t="s">
        <v>993</v>
      </c>
      <c r="C5431" s="15" t="s">
        <v>994</v>
      </c>
      <c r="D5431" s="12" t="str">
        <f>"1048-1885"</f>
        <v>1048-1885</v>
      </c>
      <c r="E5431" s="5">
        <v>0.51400000000000001</v>
      </c>
      <c r="F5431" s="5">
        <v>0.46200000000000002</v>
      </c>
    </row>
    <row r="5432" spans="2:6" x14ac:dyDescent="0.2">
      <c r="B5432" s="9" t="s">
        <v>11627</v>
      </c>
      <c r="C5432" s="15" t="s">
        <v>11628</v>
      </c>
      <c r="D5432" s="12" t="str">
        <f>"1460-8235"</f>
        <v>1460-8235</v>
      </c>
      <c r="E5432" s="5">
        <v>0.38700000000000001</v>
      </c>
      <c r="F5432" s="5">
        <v>0.308</v>
      </c>
    </row>
    <row r="5433" spans="2:6" x14ac:dyDescent="0.2">
      <c r="B5433" s="9" t="s">
        <v>995</v>
      </c>
      <c r="C5433" s="15" t="s">
        <v>996</v>
      </c>
      <c r="D5433" s="12" t="str">
        <f>"0735-1690"</f>
        <v>0735-1690</v>
      </c>
      <c r="E5433" s="5">
        <v>0.29199999999999998</v>
      </c>
      <c r="F5433" s="5">
        <v>0.154</v>
      </c>
    </row>
    <row r="5434" spans="2:6" x14ac:dyDescent="0.2">
      <c r="B5434" s="9" t="s">
        <v>997</v>
      </c>
      <c r="C5434" s="15" t="s">
        <v>998</v>
      </c>
      <c r="D5434" s="12" t="str">
        <f>"0736-9735"</f>
        <v>0736-9735</v>
      </c>
      <c r="E5434" s="5">
        <v>1.4810000000000001</v>
      </c>
      <c r="F5434" s="5">
        <v>1</v>
      </c>
    </row>
    <row r="5435" spans="2:6" x14ac:dyDescent="0.2">
      <c r="B5435" s="9" t="s">
        <v>999</v>
      </c>
      <c r="C5435" s="15" t="s">
        <v>1000</v>
      </c>
      <c r="D5435" s="12" t="str">
        <f>"0033-2828"</f>
        <v>0033-2828</v>
      </c>
      <c r="E5435" s="5">
        <v>0.51900000000000002</v>
      </c>
      <c r="F5435" s="5">
        <v>0.53800000000000003</v>
      </c>
    </row>
    <row r="5436" spans="2:6" x14ac:dyDescent="0.2">
      <c r="B5436" s="9" t="s">
        <v>11629</v>
      </c>
      <c r="C5436" s="15" t="s">
        <v>11630</v>
      </c>
      <c r="D5436" s="12" t="str">
        <f>"0079-7308"</f>
        <v>0079-7308</v>
      </c>
      <c r="E5436" s="5">
        <v>8.8999999999999996E-2</v>
      </c>
      <c r="F5436" s="5">
        <v>7.6999999999999999E-2</v>
      </c>
    </row>
    <row r="5437" spans="2:6" x14ac:dyDescent="0.2">
      <c r="B5437" s="9" t="s">
        <v>1001</v>
      </c>
      <c r="C5437" s="15" t="s">
        <v>11631</v>
      </c>
      <c r="D5437" s="12" t="str">
        <f>"1346-3500"</f>
        <v>1346-3500</v>
      </c>
      <c r="E5437" s="5">
        <v>2.44</v>
      </c>
      <c r="F5437" s="5">
        <v>0.38</v>
      </c>
    </row>
    <row r="5438" spans="2:6" x14ac:dyDescent="0.2">
      <c r="B5438" s="9" t="s">
        <v>1002</v>
      </c>
      <c r="C5438" s="15" t="s">
        <v>1003</v>
      </c>
      <c r="D5438" s="12" t="str">
        <f>"0893-164X"</f>
        <v>0893-164X</v>
      </c>
      <c r="E5438" s="5">
        <v>3.2879999999999998</v>
      </c>
      <c r="F5438" s="5">
        <v>0.748</v>
      </c>
    </row>
    <row r="5439" spans="2:6" x14ac:dyDescent="0.2">
      <c r="B5439" s="9" t="s">
        <v>11632</v>
      </c>
      <c r="C5439" s="15" t="s">
        <v>11633</v>
      </c>
      <c r="D5439" s="12" t="str">
        <f>"1931-3896"</f>
        <v>1931-3896</v>
      </c>
      <c r="E5439" s="5">
        <v>4.3490000000000002</v>
      </c>
      <c r="F5439" s="5">
        <v>0.88900000000000001</v>
      </c>
    </row>
    <row r="5440" spans="2:6" x14ac:dyDescent="0.2">
      <c r="B5440" s="9" t="s">
        <v>1004</v>
      </c>
      <c r="C5440" s="15" t="s">
        <v>1005</v>
      </c>
      <c r="D5440" s="12" t="str">
        <f>"0882-7974"</f>
        <v>0882-7974</v>
      </c>
      <c r="E5440" s="5">
        <v>3.34</v>
      </c>
      <c r="F5440" s="5">
        <v>0.75</v>
      </c>
    </row>
    <row r="5441" spans="2:6" x14ac:dyDescent="0.2">
      <c r="B5441" s="9" t="s">
        <v>1006</v>
      </c>
      <c r="C5441" s="15" t="s">
        <v>1007</v>
      </c>
      <c r="D5441" s="12" t="str">
        <f>"1040-3590"</f>
        <v>1040-3590</v>
      </c>
      <c r="E5441" s="5">
        <v>5.1230000000000002</v>
      </c>
      <c r="F5441" s="5">
        <v>0.86199999999999999</v>
      </c>
    </row>
    <row r="5442" spans="2:6" x14ac:dyDescent="0.2">
      <c r="B5442" s="9" t="s">
        <v>1008</v>
      </c>
      <c r="C5442" s="15" t="s">
        <v>1009</v>
      </c>
      <c r="D5442" s="12" t="str">
        <f>"0033-2879"</f>
        <v>0033-2879</v>
      </c>
      <c r="E5442" s="5">
        <v>1.524</v>
      </c>
      <c r="F5442" s="5">
        <v>0.33100000000000002</v>
      </c>
    </row>
    <row r="5443" spans="2:6" x14ac:dyDescent="0.2">
      <c r="B5443" s="9" t="s">
        <v>7437</v>
      </c>
      <c r="C5443" s="15" t="s">
        <v>2670</v>
      </c>
      <c r="D5443" s="12" t="str">
        <f>"0033-2909"</f>
        <v>0033-2909</v>
      </c>
      <c r="E5443" s="5">
        <v>17.736999999999998</v>
      </c>
      <c r="F5443" s="5">
        <v>0.98599999999999999</v>
      </c>
    </row>
    <row r="5444" spans="2:6" x14ac:dyDescent="0.2">
      <c r="B5444" s="9" t="s">
        <v>1010</v>
      </c>
      <c r="C5444" s="15" t="s">
        <v>1011</v>
      </c>
      <c r="D5444" s="12" t="str">
        <f>"1068-316X"</f>
        <v>1068-316X</v>
      </c>
      <c r="E5444" s="5">
        <v>2.0190000000000001</v>
      </c>
      <c r="F5444" s="5">
        <v>0.72799999999999998</v>
      </c>
    </row>
    <row r="5445" spans="2:6" x14ac:dyDescent="0.2">
      <c r="B5445" s="9" t="s">
        <v>1012</v>
      </c>
      <c r="C5445" s="15" t="s">
        <v>1013</v>
      </c>
      <c r="D5445" s="12" t="str">
        <f>"0342-183X"</f>
        <v>0342-183X</v>
      </c>
      <c r="E5445" s="5">
        <v>0.52500000000000002</v>
      </c>
      <c r="F5445" s="5">
        <v>0.05</v>
      </c>
    </row>
    <row r="5446" spans="2:6" x14ac:dyDescent="0.2">
      <c r="B5446" s="9" t="s">
        <v>11634</v>
      </c>
      <c r="C5446" s="15" t="s">
        <v>11635</v>
      </c>
      <c r="D5446" s="12" t="str">
        <f>"0033-2984"</f>
        <v>0033-2984</v>
      </c>
      <c r="E5446" s="5">
        <v>0.68600000000000005</v>
      </c>
      <c r="F5446" s="5">
        <v>9.4E-2</v>
      </c>
    </row>
    <row r="5447" spans="2:6" x14ac:dyDescent="0.2">
      <c r="B5447" s="9" t="s">
        <v>1014</v>
      </c>
      <c r="C5447" s="15" t="s">
        <v>1015</v>
      </c>
      <c r="D5447" s="12" t="str">
        <f>"0887-0446"</f>
        <v>0887-0446</v>
      </c>
      <c r="E5447" s="5">
        <v>3.073</v>
      </c>
      <c r="F5447" s="5">
        <v>0.72699999999999998</v>
      </c>
    </row>
    <row r="5448" spans="2:6" x14ac:dyDescent="0.2">
      <c r="B5448" s="9" t="s">
        <v>11636</v>
      </c>
      <c r="C5448" s="15" t="s">
        <v>11637</v>
      </c>
      <c r="D5448" s="12" t="str">
        <f>"1354-8506"</f>
        <v>1354-8506</v>
      </c>
      <c r="E5448" s="5">
        <v>2.423</v>
      </c>
      <c r="F5448" s="5">
        <v>0.47799999999999998</v>
      </c>
    </row>
    <row r="5449" spans="2:6" x14ac:dyDescent="0.2">
      <c r="B5449" s="9" t="s">
        <v>1016</v>
      </c>
      <c r="C5449" s="15" t="s">
        <v>1017</v>
      </c>
      <c r="D5449" s="12" t="str">
        <f>"1047-840X"</f>
        <v>1047-840X</v>
      </c>
      <c r="E5449" s="5">
        <v>4.2779999999999996</v>
      </c>
      <c r="F5449" s="5">
        <v>0.84199999999999997</v>
      </c>
    </row>
    <row r="5450" spans="2:6" x14ac:dyDescent="0.2">
      <c r="B5450" s="9" t="s">
        <v>11638</v>
      </c>
      <c r="C5450" s="15" t="s">
        <v>11639</v>
      </c>
      <c r="D5450" s="12" t="str">
        <f>"0079-7421"</f>
        <v>0079-7421</v>
      </c>
      <c r="E5450" s="5">
        <v>1.488</v>
      </c>
      <c r="F5450" s="5">
        <v>0.13300000000000001</v>
      </c>
    </row>
    <row r="5451" spans="2:6" x14ac:dyDescent="0.2">
      <c r="B5451" s="9" t="s">
        <v>1018</v>
      </c>
      <c r="C5451" s="15" t="s">
        <v>1019</v>
      </c>
      <c r="D5451" s="12" t="str">
        <f>"0742-6046"</f>
        <v>0742-6046</v>
      </c>
      <c r="E5451" s="5">
        <v>2.9390000000000001</v>
      </c>
      <c r="F5451" s="5">
        <v>0.49399999999999999</v>
      </c>
    </row>
    <row r="5452" spans="2:6" x14ac:dyDescent="0.2">
      <c r="B5452" s="9" t="s">
        <v>7438</v>
      </c>
      <c r="C5452" s="15" t="s">
        <v>2671</v>
      </c>
      <c r="D5452" s="12" t="str">
        <f>"0033-2917"</f>
        <v>0033-2917</v>
      </c>
      <c r="E5452" s="5">
        <v>7.7229999999999999</v>
      </c>
      <c r="F5452" s="5">
        <v>0.98499999999999999</v>
      </c>
    </row>
    <row r="5453" spans="2:6" x14ac:dyDescent="0.2">
      <c r="B5453" s="9" t="s">
        <v>11640</v>
      </c>
      <c r="C5453" s="15" t="s">
        <v>11641</v>
      </c>
      <c r="D5453" s="12" t="str">
        <f>"1524-9220"</f>
        <v>1524-9220</v>
      </c>
      <c r="E5453" s="5">
        <v>2.948</v>
      </c>
      <c r="F5453" s="5">
        <v>0.56299999999999994</v>
      </c>
    </row>
    <row r="5454" spans="2:6" x14ac:dyDescent="0.2">
      <c r="B5454" s="9" t="s">
        <v>1020</v>
      </c>
      <c r="C5454" s="15" t="s">
        <v>1021</v>
      </c>
      <c r="D5454" s="12" t="str">
        <f>"1082-989X"</f>
        <v>1082-989X</v>
      </c>
      <c r="E5454" s="5">
        <v>11.302</v>
      </c>
      <c r="F5454" s="5">
        <v>0.97799999999999998</v>
      </c>
    </row>
    <row r="5455" spans="2:6" x14ac:dyDescent="0.2">
      <c r="B5455" s="9" t="s">
        <v>11642</v>
      </c>
      <c r="C5455" s="15" t="s">
        <v>11643</v>
      </c>
      <c r="D5455" s="12" t="str">
        <f>"0305-7356"</f>
        <v>0305-7356</v>
      </c>
      <c r="E5455" s="5">
        <v>2.2040000000000002</v>
      </c>
      <c r="F5455" s="5">
        <v>0.41699999999999998</v>
      </c>
    </row>
    <row r="5456" spans="2:6" x14ac:dyDescent="0.2">
      <c r="B5456" s="9" t="s">
        <v>1038</v>
      </c>
      <c r="C5456" s="15" t="s">
        <v>1038</v>
      </c>
      <c r="D5456" s="12" t="str">
        <f>"0033-2852"</f>
        <v>0033-2852</v>
      </c>
      <c r="E5456" s="5">
        <v>0.188</v>
      </c>
      <c r="F5456" s="5">
        <v>7.0000000000000001E-3</v>
      </c>
    </row>
    <row r="5457" spans="2:6" x14ac:dyDescent="0.2">
      <c r="B5457" s="9" t="s">
        <v>1039</v>
      </c>
      <c r="C5457" s="15" t="s">
        <v>1039</v>
      </c>
      <c r="D5457" s="12" t="str">
        <f>"0952-8229"</f>
        <v>0952-8229</v>
      </c>
      <c r="E5457" s="5">
        <v>0.33300000000000002</v>
      </c>
      <c r="F5457" s="5">
        <v>2.9000000000000001E-2</v>
      </c>
    </row>
    <row r="5458" spans="2:6" x14ac:dyDescent="0.2">
      <c r="B5458" s="9" t="s">
        <v>7439</v>
      </c>
      <c r="C5458" s="15" t="s">
        <v>2672</v>
      </c>
      <c r="D5458" s="12" t="str">
        <f>"1476-0835"</f>
        <v>1476-0835</v>
      </c>
      <c r="E5458" s="5">
        <v>3.915</v>
      </c>
      <c r="F5458" s="5">
        <v>0.81799999999999995</v>
      </c>
    </row>
    <row r="5459" spans="2:6" x14ac:dyDescent="0.2">
      <c r="B5459" s="9" t="s">
        <v>1022</v>
      </c>
      <c r="C5459" s="15" t="s">
        <v>1023</v>
      </c>
      <c r="D5459" s="12" t="str">
        <f>"1076-8971"</f>
        <v>1076-8971</v>
      </c>
      <c r="E5459" s="5">
        <v>3.0779999999999998</v>
      </c>
      <c r="F5459" s="5">
        <v>0.90700000000000003</v>
      </c>
    </row>
    <row r="5460" spans="2:6" x14ac:dyDescent="0.2">
      <c r="B5460" s="9" t="s">
        <v>1024</v>
      </c>
      <c r="C5460" s="15" t="s">
        <v>1025</v>
      </c>
      <c r="D5460" s="12" t="str">
        <f>"0033-2933"</f>
        <v>0033-2933</v>
      </c>
      <c r="E5460" s="5">
        <v>1.538</v>
      </c>
      <c r="F5460" s="5">
        <v>0.33800000000000002</v>
      </c>
    </row>
    <row r="5461" spans="2:6" x14ac:dyDescent="0.2">
      <c r="B5461" s="9" t="s">
        <v>11644</v>
      </c>
      <c r="C5461" s="15" t="s">
        <v>11645</v>
      </c>
      <c r="D5461" s="12" t="str">
        <f>"1941-1022"</f>
        <v>1941-1022</v>
      </c>
      <c r="E5461" s="5">
        <v>2.3290000000000002</v>
      </c>
      <c r="F5461" s="5">
        <v>0.54700000000000004</v>
      </c>
    </row>
    <row r="5462" spans="2:6" x14ac:dyDescent="0.2">
      <c r="B5462" s="9" t="s">
        <v>1026</v>
      </c>
      <c r="C5462" s="15" t="s">
        <v>1027</v>
      </c>
      <c r="D5462" s="12" t="str">
        <f>"0033-2941"</f>
        <v>0033-2941</v>
      </c>
      <c r="E5462" s="5">
        <v>2.0529999999999999</v>
      </c>
      <c r="F5462" s="5">
        <v>0.48199999999999998</v>
      </c>
    </row>
    <row r="5463" spans="2:6" x14ac:dyDescent="0.2">
      <c r="B5463" s="9" t="s">
        <v>11646</v>
      </c>
      <c r="C5463" s="15" t="s">
        <v>11647</v>
      </c>
      <c r="D5463" s="12" t="str">
        <f>"1179-1578"</f>
        <v>1179-1578</v>
      </c>
      <c r="E5463" s="5">
        <v>2.9449999999999998</v>
      </c>
      <c r="F5463" s="5">
        <v>0.69099999999999995</v>
      </c>
    </row>
    <row r="5464" spans="2:6" x14ac:dyDescent="0.2">
      <c r="B5464" s="9" t="s">
        <v>1028</v>
      </c>
      <c r="C5464" s="15" t="s">
        <v>1029</v>
      </c>
      <c r="D5464" s="12" t="str">
        <f>"0340-0727"</f>
        <v>0340-0727</v>
      </c>
      <c r="E5464" s="5">
        <v>2.956</v>
      </c>
      <c r="F5464" s="5">
        <v>0.61099999999999999</v>
      </c>
    </row>
    <row r="5465" spans="2:6" x14ac:dyDescent="0.2">
      <c r="B5465" s="9" t="s">
        <v>7440</v>
      </c>
      <c r="C5465" s="15" t="s">
        <v>2673</v>
      </c>
      <c r="D5465" s="12" t="str">
        <f>"0033-295X"</f>
        <v>0033-295X</v>
      </c>
      <c r="E5465" s="5">
        <v>8.9339999999999993</v>
      </c>
      <c r="F5465" s="5">
        <v>0.95</v>
      </c>
    </row>
    <row r="5466" spans="2:6" x14ac:dyDescent="0.2">
      <c r="B5466" s="9" t="s">
        <v>1030</v>
      </c>
      <c r="C5466" s="15" t="s">
        <v>1031</v>
      </c>
      <c r="D5466" s="12" t="str">
        <f>"0033-3042"</f>
        <v>0033-3042</v>
      </c>
      <c r="E5466" s="5">
        <v>1.714</v>
      </c>
      <c r="F5466" s="5">
        <v>0.38800000000000001</v>
      </c>
    </row>
    <row r="5467" spans="2:6" x14ac:dyDescent="0.2">
      <c r="B5467" s="9" t="s">
        <v>1032</v>
      </c>
      <c r="C5467" s="15" t="s">
        <v>1033</v>
      </c>
      <c r="D5467" s="12" t="str">
        <f>"0033-3085"</f>
        <v>0033-3085</v>
      </c>
      <c r="E5467" s="5">
        <v>1.774</v>
      </c>
      <c r="F5467" s="5">
        <v>0.28299999999999997</v>
      </c>
    </row>
    <row r="5468" spans="2:6" x14ac:dyDescent="0.2">
      <c r="B5468" s="9" t="s">
        <v>1034</v>
      </c>
      <c r="C5468" s="15" t="s">
        <v>1035</v>
      </c>
      <c r="D5468" s="12" t="str">
        <f>"0956-7976"</f>
        <v>0956-7976</v>
      </c>
      <c r="E5468" s="5">
        <v>7.0289999999999999</v>
      </c>
      <c r="F5468" s="5">
        <v>0.94199999999999995</v>
      </c>
    </row>
    <row r="5469" spans="2:6" x14ac:dyDescent="0.2">
      <c r="B5469" s="9" t="s">
        <v>11648</v>
      </c>
      <c r="C5469" s="15" t="s">
        <v>11649</v>
      </c>
      <c r="D5469" s="12" t="str">
        <f>"1529-1006"</f>
        <v>1529-1006</v>
      </c>
      <c r="E5469" s="5">
        <v>37.856999999999999</v>
      </c>
      <c r="F5469" s="5">
        <v>1</v>
      </c>
    </row>
    <row r="5470" spans="2:6" x14ac:dyDescent="0.2">
      <c r="B5470" s="9" t="s">
        <v>11650</v>
      </c>
      <c r="C5470" s="15" t="s">
        <v>11651</v>
      </c>
      <c r="D5470" s="12" t="str">
        <f>"1541-1559"</f>
        <v>1541-1559</v>
      </c>
      <c r="E5470" s="5">
        <v>2.6589999999999998</v>
      </c>
      <c r="F5470" s="5">
        <v>0.43099999999999999</v>
      </c>
    </row>
    <row r="5471" spans="2:6" x14ac:dyDescent="0.2">
      <c r="B5471" s="9" t="s">
        <v>11652</v>
      </c>
      <c r="C5471" s="15" t="s">
        <v>11653</v>
      </c>
      <c r="D5471" s="12" t="str">
        <f>"1941-9899"</f>
        <v>1941-9899</v>
      </c>
      <c r="E5471" s="5">
        <v>2.5579999999999998</v>
      </c>
      <c r="F5471" s="5">
        <v>0.60399999999999998</v>
      </c>
    </row>
    <row r="5472" spans="2:6" x14ac:dyDescent="0.2">
      <c r="B5472" s="9" t="s">
        <v>7441</v>
      </c>
      <c r="C5472" s="15" t="s">
        <v>2674</v>
      </c>
      <c r="D5472" s="12" t="str">
        <f>"1469-0292"</f>
        <v>1469-0292</v>
      </c>
      <c r="E5472" s="5">
        <v>4.7850000000000001</v>
      </c>
      <c r="F5472" s="5">
        <v>0.88600000000000001</v>
      </c>
    </row>
    <row r="5473" spans="2:6" x14ac:dyDescent="0.2">
      <c r="B5473" s="9" t="s">
        <v>11654</v>
      </c>
      <c r="C5473" s="15" t="s">
        <v>11655</v>
      </c>
      <c r="D5473" s="12" t="str">
        <f>"1942-9681"</f>
        <v>1942-9681</v>
      </c>
      <c r="E5473" s="5">
        <v>3.226</v>
      </c>
      <c r="F5473" s="5">
        <v>0.57699999999999996</v>
      </c>
    </row>
    <row r="5474" spans="2:6" x14ac:dyDescent="0.2">
      <c r="B5474" s="9" t="s">
        <v>11656</v>
      </c>
      <c r="C5474" s="15" t="s">
        <v>11657</v>
      </c>
      <c r="D5474" s="12" t="str">
        <f>"2152-0828"</f>
        <v>2152-0828</v>
      </c>
      <c r="E5474" s="5">
        <v>4.1470000000000002</v>
      </c>
      <c r="F5474" s="5">
        <v>0.93500000000000005</v>
      </c>
    </row>
    <row r="5475" spans="2:6" x14ac:dyDescent="0.2">
      <c r="B5475" s="9" t="s">
        <v>1036</v>
      </c>
      <c r="C5475" s="15" t="s">
        <v>1037</v>
      </c>
      <c r="D5475" s="12" t="str">
        <f>"0361-6843"</f>
        <v>0361-6843</v>
      </c>
      <c r="E5475" s="5">
        <v>4.0620000000000003</v>
      </c>
      <c r="F5475" s="5">
        <v>0.97699999999999998</v>
      </c>
    </row>
    <row r="5476" spans="2:6" x14ac:dyDescent="0.2">
      <c r="B5476" s="9" t="s">
        <v>1040</v>
      </c>
      <c r="C5476" s="15" t="s">
        <v>1040</v>
      </c>
      <c r="D5476" s="12" t="str">
        <f>"0033-3123"</f>
        <v>0033-3123</v>
      </c>
      <c r="E5476" s="5">
        <v>2.5</v>
      </c>
      <c r="F5476" s="5">
        <v>0.69199999999999995</v>
      </c>
    </row>
    <row r="5477" spans="2:6" x14ac:dyDescent="0.2">
      <c r="B5477" s="9" t="s">
        <v>1041</v>
      </c>
      <c r="C5477" s="15" t="s">
        <v>1042</v>
      </c>
      <c r="D5477" s="12" t="str">
        <f>"1069-9384"</f>
        <v>1069-9384</v>
      </c>
      <c r="E5477" s="5">
        <v>5.5359999999999996</v>
      </c>
      <c r="F5477" s="5">
        <v>0.94399999999999995</v>
      </c>
    </row>
    <row r="5478" spans="2:6" x14ac:dyDescent="0.2">
      <c r="B5478" s="9" t="s">
        <v>7442</v>
      </c>
      <c r="C5478" s="15" t="s">
        <v>2675</v>
      </c>
      <c r="D5478" s="12" t="str">
        <f>"0306-4530"</f>
        <v>0306-4530</v>
      </c>
      <c r="E5478" s="5">
        <v>4.9050000000000002</v>
      </c>
      <c r="F5478" s="5">
        <v>0.81499999999999995</v>
      </c>
    </row>
    <row r="5479" spans="2:6" x14ac:dyDescent="0.2">
      <c r="B5479" s="9" t="s">
        <v>992</v>
      </c>
      <c r="C5479" s="15" t="s">
        <v>11658</v>
      </c>
      <c r="D5479" s="12" t="str">
        <f>"1778-3798"</f>
        <v>1778-3798</v>
      </c>
      <c r="E5479" s="5">
        <v>8.8999999999999996E-2</v>
      </c>
      <c r="F5479" s="5">
        <v>1.2999999999999999E-2</v>
      </c>
    </row>
    <row r="5480" spans="2:6" x14ac:dyDescent="0.2">
      <c r="B5480" s="9" t="s">
        <v>2676</v>
      </c>
      <c r="C5480" s="15" t="s">
        <v>2676</v>
      </c>
      <c r="D5480" s="12" t="str">
        <f>"1057-9249"</f>
        <v>1057-9249</v>
      </c>
      <c r="E5480" s="5">
        <v>3.8940000000000001</v>
      </c>
      <c r="F5480" s="5">
        <v>0.86399999999999999</v>
      </c>
    </row>
    <row r="5481" spans="2:6" x14ac:dyDescent="0.2">
      <c r="B5481" s="9" t="s">
        <v>7443</v>
      </c>
      <c r="C5481" s="15" t="s">
        <v>7443</v>
      </c>
      <c r="D5481" s="12" t="str">
        <f>"0254-4962"</f>
        <v>0254-4962</v>
      </c>
      <c r="E5481" s="5">
        <v>1.944</v>
      </c>
      <c r="F5481" s="5">
        <v>0.27800000000000002</v>
      </c>
    </row>
    <row r="5482" spans="2:6" x14ac:dyDescent="0.2">
      <c r="B5482" s="9" t="s">
        <v>7444</v>
      </c>
      <c r="C5482" s="15" t="s">
        <v>7444</v>
      </c>
      <c r="D5482" s="12" t="str">
        <f>"0033-3158"</f>
        <v>0033-3158</v>
      </c>
      <c r="E5482" s="5">
        <v>4.53</v>
      </c>
      <c r="F5482" s="5">
        <v>0.76900000000000002</v>
      </c>
    </row>
    <row r="5483" spans="2:6" x14ac:dyDescent="0.2">
      <c r="B5483" s="9" t="s">
        <v>7445</v>
      </c>
      <c r="C5483" s="15" t="s">
        <v>7445</v>
      </c>
      <c r="D5483" s="12" t="str">
        <f>"0048-5772"</f>
        <v>0048-5772</v>
      </c>
      <c r="E5483" s="5">
        <v>4.016</v>
      </c>
      <c r="F5483" s="5">
        <v>0.85699999999999998</v>
      </c>
    </row>
    <row r="5484" spans="2:6" x14ac:dyDescent="0.2">
      <c r="B5484" s="9" t="s">
        <v>11659</v>
      </c>
      <c r="C5484" s="15" t="s">
        <v>11660</v>
      </c>
      <c r="D5484" s="12" t="str">
        <f>"1752-2439"</f>
        <v>1752-2439</v>
      </c>
      <c r="E5484" s="5">
        <v>1.2390000000000001</v>
      </c>
      <c r="F5484" s="5">
        <v>0.17699999999999999</v>
      </c>
    </row>
    <row r="5485" spans="2:6" x14ac:dyDescent="0.2">
      <c r="B5485" s="9" t="s">
        <v>11661</v>
      </c>
      <c r="C5485" s="15" t="s">
        <v>11662</v>
      </c>
      <c r="D5485" s="12" t="str">
        <f>"1132-0559"</f>
        <v>1132-0559</v>
      </c>
      <c r="E5485" s="5">
        <v>5.0830000000000002</v>
      </c>
      <c r="F5485" s="5">
        <v>0.878</v>
      </c>
    </row>
    <row r="5486" spans="2:6" x14ac:dyDescent="0.2">
      <c r="B5486" s="9" t="s">
        <v>7447</v>
      </c>
      <c r="C5486" s="15" t="s">
        <v>7447</v>
      </c>
      <c r="D5486" s="12" t="str">
        <f>"0033-3182"</f>
        <v>0033-3182</v>
      </c>
      <c r="E5486" s="5">
        <v>2.3860000000000001</v>
      </c>
      <c r="F5486" s="5">
        <v>0.41599999999999998</v>
      </c>
    </row>
    <row r="5487" spans="2:6" x14ac:dyDescent="0.2">
      <c r="B5487" s="9" t="s">
        <v>7446</v>
      </c>
      <c r="C5487" s="15" t="s">
        <v>2677</v>
      </c>
      <c r="D5487" s="12" t="str">
        <f>"0033-3174"</f>
        <v>0033-3174</v>
      </c>
      <c r="E5487" s="5">
        <v>4.3120000000000003</v>
      </c>
      <c r="F5487" s="5">
        <v>0.87</v>
      </c>
    </row>
    <row r="5488" spans="2:6" x14ac:dyDescent="0.2">
      <c r="B5488" s="9" t="s">
        <v>1047</v>
      </c>
      <c r="C5488" s="15" t="s">
        <v>1047</v>
      </c>
      <c r="D5488" s="12" t="str">
        <f>"0935-6185"</f>
        <v>0935-6185</v>
      </c>
      <c r="E5488" s="5">
        <v>0.70899999999999996</v>
      </c>
      <c r="F5488" s="5">
        <v>6.9000000000000006E-2</v>
      </c>
    </row>
    <row r="5489" spans="2:6" x14ac:dyDescent="0.2">
      <c r="B5489" s="9" t="s">
        <v>1048</v>
      </c>
      <c r="C5489" s="15" t="s">
        <v>1048</v>
      </c>
      <c r="D5489" s="12" t="str">
        <f>"0033-3204"</f>
        <v>0033-3204</v>
      </c>
      <c r="E5489" s="5">
        <v>6.5960000000000001</v>
      </c>
      <c r="F5489" s="5">
        <v>0.93799999999999994</v>
      </c>
    </row>
    <row r="5490" spans="2:6" x14ac:dyDescent="0.2">
      <c r="B5490" s="9" t="s">
        <v>1043</v>
      </c>
      <c r="C5490" s="15" t="s">
        <v>1044</v>
      </c>
      <c r="D5490" s="12" t="str">
        <f>"0937-2032"</f>
        <v>0937-2032</v>
      </c>
      <c r="E5490" s="5">
        <v>1.43</v>
      </c>
      <c r="F5490" s="5">
        <v>0.215</v>
      </c>
    </row>
    <row r="5491" spans="2:6" x14ac:dyDescent="0.2">
      <c r="B5491" s="9" t="s">
        <v>7448</v>
      </c>
      <c r="C5491" s="15" t="s">
        <v>2678</v>
      </c>
      <c r="D5491" s="12" t="str">
        <f>"0033-3190"</f>
        <v>0033-3190</v>
      </c>
      <c r="E5491" s="5">
        <v>17.658999999999999</v>
      </c>
      <c r="F5491" s="5">
        <v>0.98099999999999998</v>
      </c>
    </row>
    <row r="5492" spans="2:6" x14ac:dyDescent="0.2">
      <c r="B5492" s="9" t="s">
        <v>1045</v>
      </c>
      <c r="C5492" s="15" t="s">
        <v>1046</v>
      </c>
      <c r="D5492" s="12" t="str">
        <f>"1050-3307"</f>
        <v>1050-3307</v>
      </c>
      <c r="E5492" s="5">
        <v>3.7679999999999998</v>
      </c>
      <c r="F5492" s="5">
        <v>0.66200000000000003</v>
      </c>
    </row>
    <row r="5493" spans="2:6" x14ac:dyDescent="0.2">
      <c r="B5493" s="9" t="s">
        <v>7449</v>
      </c>
      <c r="C5493" s="15" t="s">
        <v>7449</v>
      </c>
      <c r="D5493" s="12" t="str">
        <f>"0933-4807"</f>
        <v>0933-4807</v>
      </c>
      <c r="E5493" s="5">
        <v>0.58099999999999996</v>
      </c>
      <c r="F5493" s="5">
        <v>2.8000000000000001E-2</v>
      </c>
    </row>
    <row r="5494" spans="2:6" x14ac:dyDescent="0.2">
      <c r="B5494" s="9" t="s">
        <v>7450</v>
      </c>
      <c r="C5494" s="15" t="s">
        <v>7450</v>
      </c>
      <c r="D5494" s="12" t="str">
        <f>"0033-3506"</f>
        <v>0033-3506</v>
      </c>
      <c r="E5494" s="5">
        <v>2.427</v>
      </c>
      <c r="F5494" s="5">
        <v>0.48099999999999998</v>
      </c>
    </row>
    <row r="5495" spans="2:6" x14ac:dyDescent="0.2">
      <c r="B5495" s="9" t="s">
        <v>11663</v>
      </c>
      <c r="C5495" s="15" t="s">
        <v>11664</v>
      </c>
      <c r="D5495" s="12" t="str">
        <f>"1754-9973"</f>
        <v>1754-9973</v>
      </c>
      <c r="E5495" s="5">
        <v>1.94</v>
      </c>
      <c r="F5495" s="5">
        <v>0.625</v>
      </c>
    </row>
    <row r="5496" spans="2:6" x14ac:dyDescent="0.2">
      <c r="B5496" s="9" t="s">
        <v>11665</v>
      </c>
      <c r="C5496" s="15" t="s">
        <v>11666</v>
      </c>
      <c r="D5496" s="12" t="str">
        <f>"1662-8063"</f>
        <v>1662-8063</v>
      </c>
      <c r="E5496" s="5">
        <v>2</v>
      </c>
      <c r="F5496" s="5">
        <v>0.35799999999999998</v>
      </c>
    </row>
    <row r="5497" spans="2:6" x14ac:dyDescent="0.2">
      <c r="B5497" s="9" t="s">
        <v>7451</v>
      </c>
      <c r="C5497" s="15" t="s">
        <v>2679</v>
      </c>
      <c r="D5497" s="12" t="str">
        <f>"0737-1209"</f>
        <v>0737-1209</v>
      </c>
      <c r="E5497" s="5">
        <v>1.462</v>
      </c>
      <c r="F5497" s="5">
        <v>0.32500000000000001</v>
      </c>
    </row>
    <row r="5498" spans="2:6" x14ac:dyDescent="0.2">
      <c r="B5498" s="9" t="s">
        <v>7452</v>
      </c>
      <c r="C5498" s="15" t="s">
        <v>2680</v>
      </c>
      <c r="D5498" s="12" t="str">
        <f>"1368-9800"</f>
        <v>1368-9800</v>
      </c>
      <c r="E5498" s="5">
        <v>4.0220000000000002</v>
      </c>
      <c r="F5498" s="5">
        <v>0.79900000000000004</v>
      </c>
    </row>
    <row r="5499" spans="2:6" x14ac:dyDescent="0.2">
      <c r="B5499" s="9" t="s">
        <v>7453</v>
      </c>
      <c r="C5499" s="15" t="s">
        <v>2681</v>
      </c>
      <c r="D5499" s="12" t="str">
        <f>"1468-2877"</f>
        <v>1468-2877</v>
      </c>
      <c r="E5499" s="5">
        <v>2.7919999999999998</v>
      </c>
      <c r="F5499" s="5">
        <v>0.58399999999999996</v>
      </c>
    </row>
    <row r="5500" spans="2:6" x14ac:dyDescent="0.2">
      <c r="B5500" s="9" t="s">
        <v>1049</v>
      </c>
      <c r="C5500" s="15" t="s">
        <v>1050</v>
      </c>
      <c r="D5500" s="12" t="str">
        <f>"0033-362X"</f>
        <v>0033-362X</v>
      </c>
      <c r="E5500" s="5">
        <v>4.1539999999999999</v>
      </c>
      <c r="F5500" s="5">
        <v>0.90800000000000003</v>
      </c>
    </row>
    <row r="5501" spans="2:6" x14ac:dyDescent="0.2">
      <c r="B5501" s="9" t="s">
        <v>1051</v>
      </c>
      <c r="C5501" s="15" t="s">
        <v>1052</v>
      </c>
      <c r="D5501" s="12" t="str">
        <f>"0963-6625"</f>
        <v>0963-6625</v>
      </c>
      <c r="E5501" s="5">
        <v>2.976</v>
      </c>
      <c r="F5501" s="5">
        <v>0.93200000000000005</v>
      </c>
    </row>
    <row r="5502" spans="2:6" x14ac:dyDescent="0.2">
      <c r="B5502" s="9" t="s">
        <v>11667</v>
      </c>
      <c r="C5502" s="15" t="s">
        <v>11668</v>
      </c>
      <c r="D5502" s="12" t="str">
        <f>"2045-8932"</f>
        <v>2045-8932</v>
      </c>
      <c r="E5502" s="5">
        <v>3.0169999999999999</v>
      </c>
      <c r="F5502" s="5">
        <v>0.48899999999999999</v>
      </c>
    </row>
    <row r="5503" spans="2:6" x14ac:dyDescent="0.2">
      <c r="B5503" s="9" t="s">
        <v>11669</v>
      </c>
      <c r="C5503" s="15" t="s">
        <v>11670</v>
      </c>
      <c r="D5503" s="12" t="str">
        <f>"2531-0437"</f>
        <v>2531-0437</v>
      </c>
      <c r="E5503" s="5">
        <v>3.5750000000000002</v>
      </c>
      <c r="F5503" s="5">
        <v>0.625</v>
      </c>
    </row>
    <row r="5504" spans="2:6" x14ac:dyDescent="0.2">
      <c r="B5504" s="9" t="s">
        <v>7454</v>
      </c>
      <c r="C5504" s="15" t="s">
        <v>2682</v>
      </c>
      <c r="D5504" s="12" t="str">
        <f>"1094-5539"</f>
        <v>1094-5539</v>
      </c>
      <c r="E5504" s="5">
        <v>3.41</v>
      </c>
      <c r="F5504" s="5">
        <v>0.57799999999999996</v>
      </c>
    </row>
    <row r="5505" spans="2:6" x14ac:dyDescent="0.2">
      <c r="B5505" s="9" t="s">
        <v>7455</v>
      </c>
      <c r="C5505" s="15" t="s">
        <v>2683</v>
      </c>
      <c r="D5505" s="12" t="str">
        <f>"0033-4545"</f>
        <v>0033-4545</v>
      </c>
      <c r="E5505" s="5">
        <v>2.4529999999999998</v>
      </c>
      <c r="F5505" s="5">
        <v>0.39900000000000002</v>
      </c>
    </row>
    <row r="5506" spans="2:6" x14ac:dyDescent="0.2">
      <c r="B5506" s="9" t="s">
        <v>1053</v>
      </c>
      <c r="C5506" s="15" t="s">
        <v>0</v>
      </c>
      <c r="D5506" s="12" t="str">
        <f>"1573-9538"</f>
        <v>1573-9538</v>
      </c>
      <c r="E5506" s="5">
        <v>3.7650000000000001</v>
      </c>
      <c r="F5506" s="5">
        <v>0.52700000000000002</v>
      </c>
    </row>
    <row r="5507" spans="2:6" x14ac:dyDescent="0.2">
      <c r="B5507" s="9" t="s">
        <v>7456</v>
      </c>
      <c r="C5507" s="15" t="s">
        <v>2684</v>
      </c>
      <c r="D5507" s="12" t="str">
        <f>"1747-0218"</f>
        <v>1747-0218</v>
      </c>
      <c r="E5507" s="5">
        <v>2.1429999999999998</v>
      </c>
      <c r="F5507" s="5">
        <v>0.378</v>
      </c>
    </row>
    <row r="5508" spans="2:6" x14ac:dyDescent="0.2">
      <c r="B5508" s="9" t="s">
        <v>7460</v>
      </c>
      <c r="C5508" s="15" t="s">
        <v>2688</v>
      </c>
      <c r="D5508" s="12" t="str">
        <f>"1460-2725"</f>
        <v>1460-2725</v>
      </c>
      <c r="E5508" s="5">
        <v>3.21</v>
      </c>
      <c r="F5508" s="5">
        <v>0.67100000000000004</v>
      </c>
    </row>
    <row r="5509" spans="2:6" x14ac:dyDescent="0.2">
      <c r="B5509" s="9" t="s">
        <v>7457</v>
      </c>
      <c r="C5509" s="15" t="s">
        <v>2685</v>
      </c>
      <c r="D5509" s="12" t="str">
        <f>"1824-4785"</f>
        <v>1824-4785</v>
      </c>
      <c r="E5509" s="5">
        <v>2.3460000000000001</v>
      </c>
      <c r="F5509" s="5">
        <v>0.33800000000000002</v>
      </c>
    </row>
    <row r="5510" spans="2:6" x14ac:dyDescent="0.2">
      <c r="B5510" s="9" t="s">
        <v>7458</v>
      </c>
      <c r="C5510" s="15" t="s">
        <v>2686</v>
      </c>
      <c r="D5510" s="12" t="str">
        <f>"0033-5770"</f>
        <v>0033-5770</v>
      </c>
      <c r="E5510" s="5">
        <v>4.875</v>
      </c>
      <c r="F5510" s="5">
        <v>0.82799999999999996</v>
      </c>
    </row>
    <row r="5511" spans="2:6" x14ac:dyDescent="0.2">
      <c r="B5511" s="9" t="s">
        <v>7459</v>
      </c>
      <c r="C5511" s="15" t="s">
        <v>2687</v>
      </c>
      <c r="D5511" s="12" t="str">
        <f>"0033-5835"</f>
        <v>0033-5835</v>
      </c>
      <c r="E5511" s="5">
        <v>5.3179999999999996</v>
      </c>
      <c r="F5511" s="5">
        <v>0.873</v>
      </c>
    </row>
    <row r="5512" spans="2:6" x14ac:dyDescent="0.2">
      <c r="B5512" s="9" t="s">
        <v>11671</v>
      </c>
      <c r="C5512" s="15" t="s">
        <v>11672</v>
      </c>
      <c r="D5512" s="12" t="str">
        <f>"0898-2112"</f>
        <v>0898-2112</v>
      </c>
      <c r="E5512" s="5">
        <v>2.1280000000000001</v>
      </c>
      <c r="F5512" s="5">
        <v>0.68</v>
      </c>
    </row>
    <row r="5513" spans="2:6" x14ac:dyDescent="0.2">
      <c r="B5513" s="9" t="s">
        <v>2</v>
      </c>
      <c r="C5513" s="15" t="s">
        <v>3</v>
      </c>
      <c r="D5513" s="12" t="str">
        <f>"1049-7323"</f>
        <v>1049-7323</v>
      </c>
      <c r="E5513" s="5">
        <v>3.2770000000000001</v>
      </c>
      <c r="F5513" s="5">
        <v>0.84399999999999997</v>
      </c>
    </row>
    <row r="5514" spans="2:6" x14ac:dyDescent="0.2">
      <c r="B5514" s="9" t="s">
        <v>4</v>
      </c>
      <c r="C5514" s="15" t="s">
        <v>5</v>
      </c>
      <c r="D5514" s="12" t="str">
        <f>"1077-8004"</f>
        <v>1077-8004</v>
      </c>
      <c r="E5514" s="5">
        <v>4.7160000000000002</v>
      </c>
      <c r="F5514" s="5">
        <v>0.94499999999999995</v>
      </c>
    </row>
    <row r="5515" spans="2:6" x14ac:dyDescent="0.2">
      <c r="B5515" s="9" t="s">
        <v>7461</v>
      </c>
      <c r="C5515" s="15" t="s">
        <v>2689</v>
      </c>
      <c r="D5515" s="12" t="str">
        <f>"0962-9343"</f>
        <v>0962-9343</v>
      </c>
      <c r="E5515" s="5">
        <v>4.1470000000000002</v>
      </c>
      <c r="F5515" s="5">
        <v>0.89800000000000002</v>
      </c>
    </row>
    <row r="5516" spans="2:6" x14ac:dyDescent="0.2">
      <c r="B5516" s="9" t="s">
        <v>11673</v>
      </c>
      <c r="C5516" s="15" t="s">
        <v>11674</v>
      </c>
      <c r="D5516" s="12" t="str">
        <f>"1063-8628"</f>
        <v>1063-8628</v>
      </c>
      <c r="E5516" s="5">
        <v>0.92600000000000005</v>
      </c>
      <c r="F5516" s="5">
        <v>4.4999999999999998E-2</v>
      </c>
    </row>
    <row r="5517" spans="2:6" x14ac:dyDescent="0.2">
      <c r="B5517" s="9" t="s">
        <v>11675</v>
      </c>
      <c r="C5517" s="15" t="s">
        <v>11676</v>
      </c>
      <c r="D5517" s="12" t="str">
        <f>"1468-7941"</f>
        <v>1468-7941</v>
      </c>
      <c r="E5517" s="5">
        <v>2.9180000000000001</v>
      </c>
      <c r="F5517" s="5">
        <v>0.77100000000000002</v>
      </c>
    </row>
    <row r="5518" spans="2:6" x14ac:dyDescent="0.2">
      <c r="B5518" s="9" t="s">
        <v>11677</v>
      </c>
      <c r="C5518" s="15" t="s">
        <v>11678</v>
      </c>
      <c r="D5518" s="12" t="str">
        <f>"1478-0887"</f>
        <v>1478-0887</v>
      </c>
      <c r="E5518" s="5">
        <v>2.2879999999999998</v>
      </c>
      <c r="F5518" s="5">
        <v>0.52500000000000002</v>
      </c>
    </row>
    <row r="5519" spans="2:6" x14ac:dyDescent="0.2">
      <c r="B5519" s="9" t="s">
        <v>11679</v>
      </c>
      <c r="C5519" s="15" t="s">
        <v>11680</v>
      </c>
      <c r="D5519" s="12" t="str">
        <f>"2159-676X"</f>
        <v>2159-676X</v>
      </c>
      <c r="E5519" s="5">
        <v>6.7359999999999998</v>
      </c>
      <c r="F5519" s="5">
        <v>0.96599999999999997</v>
      </c>
    </row>
    <row r="5520" spans="2:6" x14ac:dyDescent="0.2">
      <c r="B5520" s="9" t="s">
        <v>11681</v>
      </c>
      <c r="C5520" s="15" t="s">
        <v>11682</v>
      </c>
      <c r="D5520" s="12" t="str">
        <f>"1684-3703"</f>
        <v>1684-3703</v>
      </c>
      <c r="E5520" s="5">
        <v>3.1339999999999999</v>
      </c>
      <c r="F5520" s="5">
        <v>0.84</v>
      </c>
    </row>
    <row r="5521" spans="2:6" x14ac:dyDescent="0.2">
      <c r="B5521" s="9" t="s">
        <v>11683</v>
      </c>
      <c r="C5521" s="15" t="s">
        <v>11684</v>
      </c>
      <c r="D5521" s="12" t="str">
        <f>"2223-4292"</f>
        <v>2223-4292</v>
      </c>
      <c r="E5521" s="5">
        <v>3.8370000000000002</v>
      </c>
      <c r="F5521" s="5">
        <v>0.71399999999999997</v>
      </c>
    </row>
    <row r="5522" spans="2:6" x14ac:dyDescent="0.2">
      <c r="B5522" s="9" t="s">
        <v>7462</v>
      </c>
      <c r="C5522" s="15" t="s">
        <v>7462</v>
      </c>
      <c r="D5522" s="12" t="str">
        <f>"1750-9696"</f>
        <v>1750-9696</v>
      </c>
      <c r="E5522" s="5">
        <v>2.91</v>
      </c>
      <c r="F5522" s="5">
        <v>0.67400000000000004</v>
      </c>
    </row>
    <row r="5523" spans="2:6" x14ac:dyDescent="0.2">
      <c r="B5523" s="9" t="s">
        <v>6</v>
      </c>
      <c r="C5523" s="15" t="s">
        <v>7</v>
      </c>
      <c r="D5523" s="12" t="str">
        <f>"0257-0130"</f>
        <v>0257-0130</v>
      </c>
      <c r="E5523" s="5">
        <v>1.216</v>
      </c>
      <c r="F5523" s="5">
        <v>0.14299999999999999</v>
      </c>
    </row>
    <row r="5524" spans="2:6" x14ac:dyDescent="0.2">
      <c r="B5524" s="9" t="s">
        <v>7463</v>
      </c>
      <c r="C5524" s="15" t="s">
        <v>2690</v>
      </c>
      <c r="D5524" s="12" t="str">
        <f>"0100-4042"</f>
        <v>0100-4042</v>
      </c>
      <c r="E5524" s="5">
        <v>0.96099999999999997</v>
      </c>
      <c r="F5524" s="5">
        <v>0.152</v>
      </c>
    </row>
    <row r="5525" spans="2:6" x14ac:dyDescent="0.2">
      <c r="B5525" s="9" t="s">
        <v>7464</v>
      </c>
      <c r="C5525" s="15" t="s">
        <v>2691</v>
      </c>
      <c r="D5525" s="12" t="str">
        <f>"0033-6572"</f>
        <v>0033-6572</v>
      </c>
      <c r="E5525" s="5">
        <v>1.677</v>
      </c>
      <c r="F5525" s="5">
        <v>0.17599999999999999</v>
      </c>
    </row>
    <row r="5526" spans="2:6" x14ac:dyDescent="0.2">
      <c r="B5526" s="9" t="s">
        <v>8</v>
      </c>
      <c r="C5526" s="15" t="s">
        <v>9</v>
      </c>
      <c r="D5526" s="12" t="str">
        <f>"0306-3968"</f>
        <v>0306-3968</v>
      </c>
      <c r="E5526" s="5">
        <v>2.5</v>
      </c>
      <c r="F5526" s="5">
        <v>0.81799999999999995</v>
      </c>
    </row>
    <row r="5527" spans="2:6" x14ac:dyDescent="0.2">
      <c r="B5527" s="9" t="s">
        <v>11685</v>
      </c>
      <c r="C5527" s="15" t="s">
        <v>11686</v>
      </c>
      <c r="D5527" s="12" t="str">
        <f>"1867-1748"</f>
        <v>1867-1748</v>
      </c>
      <c r="E5527" s="5">
        <v>2.226</v>
      </c>
      <c r="F5527" s="5">
        <v>0.60599999999999998</v>
      </c>
    </row>
    <row r="5528" spans="2:6" x14ac:dyDescent="0.2">
      <c r="B5528" s="9" t="s">
        <v>7465</v>
      </c>
      <c r="C5528" s="15" t="s">
        <v>2692</v>
      </c>
      <c r="D5528" s="12" t="str">
        <f>"1432-2099"</f>
        <v>1432-2099</v>
      </c>
      <c r="E5528" s="5">
        <v>1.925</v>
      </c>
      <c r="F5528" s="5">
        <v>0.40899999999999997</v>
      </c>
    </row>
    <row r="5529" spans="2:6" x14ac:dyDescent="0.2">
      <c r="B5529" s="9" t="s">
        <v>11687</v>
      </c>
      <c r="C5529" s="15" t="s">
        <v>11688</v>
      </c>
      <c r="D5529" s="12" t="str">
        <f>"1748-717X"</f>
        <v>1748-717X</v>
      </c>
      <c r="E5529" s="5">
        <v>3.4809999999999999</v>
      </c>
      <c r="F5529" s="5">
        <v>0.63200000000000001</v>
      </c>
    </row>
    <row r="5530" spans="2:6" x14ac:dyDescent="0.2">
      <c r="B5530" s="9" t="s">
        <v>7466</v>
      </c>
      <c r="C5530" s="15" t="s">
        <v>2693</v>
      </c>
      <c r="D5530" s="12" t="str">
        <f>"0144-8420"</f>
        <v>0144-8420</v>
      </c>
      <c r="E5530" s="5">
        <v>0.97199999999999998</v>
      </c>
      <c r="F5530" s="5">
        <v>0.17599999999999999</v>
      </c>
    </row>
    <row r="5531" spans="2:6" x14ac:dyDescent="0.2">
      <c r="B5531" s="9" t="s">
        <v>7467</v>
      </c>
      <c r="C5531" s="15" t="s">
        <v>2694</v>
      </c>
      <c r="D5531" s="12" t="str">
        <f>"0033-7587"</f>
        <v>0033-7587</v>
      </c>
      <c r="E5531" s="5">
        <v>2.8410000000000002</v>
      </c>
      <c r="F5531" s="5">
        <v>0.624</v>
      </c>
    </row>
    <row r="5532" spans="2:6" x14ac:dyDescent="0.2">
      <c r="B5532" s="9" t="s">
        <v>10</v>
      </c>
      <c r="C5532" s="15" t="s">
        <v>11</v>
      </c>
      <c r="D5532" s="12" t="str">
        <f>"0300-211X"</f>
        <v>0300-211X</v>
      </c>
      <c r="E5532" s="5">
        <v>1.952</v>
      </c>
      <c r="F5532" s="5">
        <v>0.64300000000000002</v>
      </c>
    </row>
    <row r="5533" spans="2:6" x14ac:dyDescent="0.2">
      <c r="B5533" s="9" t="s">
        <v>7468</v>
      </c>
      <c r="C5533" s="15" t="s">
        <v>7468</v>
      </c>
      <c r="D5533" s="12" t="str">
        <f>"0271-5333"</f>
        <v>0271-5333</v>
      </c>
      <c r="E5533" s="5">
        <v>5.3330000000000002</v>
      </c>
      <c r="F5533" s="5">
        <v>0.85699999999999998</v>
      </c>
    </row>
    <row r="5534" spans="2:6" x14ac:dyDescent="0.2">
      <c r="B5534" s="9" t="s">
        <v>7469</v>
      </c>
      <c r="C5534" s="15" t="s">
        <v>2695</v>
      </c>
      <c r="D5534" s="12" t="str">
        <f>"0033-8389"</f>
        <v>0033-8389</v>
      </c>
      <c r="E5534" s="5">
        <v>2.3029999999999999</v>
      </c>
      <c r="F5534" s="5">
        <v>0.32300000000000001</v>
      </c>
    </row>
    <row r="5535" spans="2:6" x14ac:dyDescent="0.2">
      <c r="B5535" s="9" t="s">
        <v>12</v>
      </c>
      <c r="C5535" s="15" t="s">
        <v>13</v>
      </c>
      <c r="D5535" s="12" t="str">
        <f>"0033-8362"</f>
        <v>0033-8362</v>
      </c>
      <c r="E5535" s="5">
        <v>3.4689999999999999</v>
      </c>
      <c r="F5535" s="5">
        <v>0.624</v>
      </c>
    </row>
    <row r="5536" spans="2:6" x14ac:dyDescent="0.2">
      <c r="B5536" s="9" t="s">
        <v>7470</v>
      </c>
      <c r="C5536" s="15" t="s">
        <v>7470</v>
      </c>
      <c r="D5536" s="12" t="str">
        <f>"0033-832X"</f>
        <v>0033-832X</v>
      </c>
      <c r="E5536" s="5">
        <v>0.63500000000000001</v>
      </c>
      <c r="F5536" s="5">
        <v>2.3E-2</v>
      </c>
    </row>
    <row r="5537" spans="2:6" x14ac:dyDescent="0.2">
      <c r="B5537" s="9" t="s">
        <v>7471</v>
      </c>
      <c r="C5537" s="15" t="s">
        <v>7471</v>
      </c>
      <c r="D5537" s="12" t="str">
        <f>"0033-8419"</f>
        <v>0033-8419</v>
      </c>
      <c r="E5537" s="5">
        <v>11.105</v>
      </c>
      <c r="F5537" s="5">
        <v>0.99199999999999999</v>
      </c>
    </row>
    <row r="5538" spans="2:6" x14ac:dyDescent="0.2">
      <c r="B5538" s="9" t="s">
        <v>11689</v>
      </c>
      <c r="C5538" s="15" t="s">
        <v>11690</v>
      </c>
      <c r="D5538" s="12" t="str">
        <f>"1318-2099"</f>
        <v>1318-2099</v>
      </c>
      <c r="E5538" s="5">
        <v>2.9910000000000001</v>
      </c>
      <c r="F5538" s="5">
        <v>0.51900000000000002</v>
      </c>
    </row>
    <row r="5539" spans="2:6" x14ac:dyDescent="0.2">
      <c r="B5539" s="9" t="s">
        <v>11691</v>
      </c>
      <c r="C5539" s="15" t="s">
        <v>11691</v>
      </c>
      <c r="D5539" s="12" t="str">
        <f>"0033-8451"</f>
        <v>0033-8451</v>
      </c>
      <c r="E5539" s="5">
        <v>1.0149999999999999</v>
      </c>
      <c r="F5539" s="5">
        <v>0.20599999999999999</v>
      </c>
    </row>
    <row r="5540" spans="2:6" x14ac:dyDescent="0.2">
      <c r="B5540" s="9" t="s">
        <v>7472</v>
      </c>
      <c r="C5540" s="15" t="s">
        <v>2696</v>
      </c>
      <c r="D5540" s="12" t="str">
        <f>"0167-8140"</f>
        <v>0167-8140</v>
      </c>
      <c r="E5540" s="5">
        <v>6.28</v>
      </c>
      <c r="F5540" s="5">
        <v>0.90200000000000002</v>
      </c>
    </row>
    <row r="5541" spans="2:6" x14ac:dyDescent="0.2">
      <c r="B5541" s="9" t="s">
        <v>11692</v>
      </c>
      <c r="C5541" s="15" t="s">
        <v>11693</v>
      </c>
      <c r="D5541" s="12" t="str">
        <f>"2010-3263"</f>
        <v>2010-3263</v>
      </c>
      <c r="E5541" s="5">
        <v>1.121</v>
      </c>
      <c r="F5541" s="5">
        <v>0.34499999999999997</v>
      </c>
    </row>
    <row r="5542" spans="2:6" x14ac:dyDescent="0.2">
      <c r="B5542" s="9" t="s">
        <v>7473</v>
      </c>
      <c r="C5542" s="15" t="s">
        <v>2697</v>
      </c>
      <c r="D5542" s="12" t="str">
        <f>"0951-4198"</f>
        <v>0951-4198</v>
      </c>
      <c r="E5542" s="5">
        <v>2.419</v>
      </c>
      <c r="F5542" s="5">
        <v>0.58099999999999996</v>
      </c>
    </row>
    <row r="5543" spans="2:6" x14ac:dyDescent="0.2">
      <c r="B5543" s="9" t="s">
        <v>7474</v>
      </c>
      <c r="C5543" s="15" t="s">
        <v>2698</v>
      </c>
      <c r="D5543" s="12" t="str">
        <f>"1355-2546"</f>
        <v>1355-2546</v>
      </c>
      <c r="E5543" s="5">
        <v>3.0950000000000002</v>
      </c>
      <c r="F5543" s="5">
        <v>0.66200000000000003</v>
      </c>
    </row>
    <row r="5544" spans="2:6" x14ac:dyDescent="0.2">
      <c r="B5544" s="9" t="s">
        <v>11694</v>
      </c>
      <c r="C5544" s="15" t="s">
        <v>11695</v>
      </c>
      <c r="D5544" s="12" t="str">
        <f>"2058-9883"</f>
        <v>2058-9883</v>
      </c>
      <c r="E5544" s="5">
        <v>4.2389999999999999</v>
      </c>
      <c r="F5544" s="5">
        <v>0.72699999999999998</v>
      </c>
    </row>
    <row r="5545" spans="2:6" x14ac:dyDescent="0.2">
      <c r="B5545" s="9" t="s">
        <v>14</v>
      </c>
      <c r="C5545" s="15" t="s">
        <v>15</v>
      </c>
      <c r="D5545" s="12" t="str">
        <f>"0034-0553"</f>
        <v>0034-0553</v>
      </c>
      <c r="E5545" s="5">
        <v>4.34</v>
      </c>
      <c r="F5545" s="5">
        <v>0.871</v>
      </c>
    </row>
    <row r="5546" spans="2:6" x14ac:dyDescent="0.2">
      <c r="B5546" s="9" t="s">
        <v>11696</v>
      </c>
      <c r="C5546" s="15" t="s">
        <v>11697</v>
      </c>
      <c r="D5546" s="12" t="str">
        <f>"0922-4777"</f>
        <v>0922-4777</v>
      </c>
      <c r="E5546" s="5">
        <v>2.87</v>
      </c>
      <c r="F5546" s="5">
        <v>0.66300000000000003</v>
      </c>
    </row>
    <row r="5547" spans="2:6" x14ac:dyDescent="0.2">
      <c r="B5547" s="9" t="s">
        <v>18</v>
      </c>
      <c r="C5547" s="15" t="s">
        <v>19</v>
      </c>
      <c r="D5547" s="12" t="str">
        <f>"1574-8928"</f>
        <v>1574-8928</v>
      </c>
      <c r="E5547" s="5">
        <v>4.1689999999999996</v>
      </c>
      <c r="F5547" s="5">
        <v>0.64400000000000002</v>
      </c>
    </row>
    <row r="5548" spans="2:6" x14ac:dyDescent="0.2">
      <c r="B5548" s="9" t="s">
        <v>20</v>
      </c>
      <c r="C5548" s="15" t="s">
        <v>21</v>
      </c>
      <c r="D5548" s="12" t="str">
        <f>"0724-2247"</f>
        <v>0724-2247</v>
      </c>
      <c r="E5548" s="5">
        <v>0.54100000000000004</v>
      </c>
      <c r="F5548" s="5">
        <v>7.1999999999999995E-2</v>
      </c>
    </row>
    <row r="5549" spans="2:6" x14ac:dyDescent="0.2">
      <c r="B5549" s="9" t="s">
        <v>11698</v>
      </c>
      <c r="C5549" s="15" t="s">
        <v>11699</v>
      </c>
      <c r="D5549" s="12" t="str">
        <f>"0937-9819"</f>
        <v>0937-9819</v>
      </c>
      <c r="E5549" s="5">
        <v>0.51700000000000002</v>
      </c>
      <c r="F5549" s="5">
        <v>0.11799999999999999</v>
      </c>
    </row>
    <row r="5550" spans="2:6" x14ac:dyDescent="0.2">
      <c r="B5550" s="9" t="s">
        <v>16</v>
      </c>
      <c r="C5550" s="15" t="s">
        <v>17</v>
      </c>
      <c r="D5550" s="12" t="str">
        <f>"1307-6167"</f>
        <v>1307-6167</v>
      </c>
      <c r="E5550" s="5">
        <v>1.7350000000000001</v>
      </c>
      <c r="F5550" s="5">
        <v>0.438</v>
      </c>
    </row>
    <row r="5551" spans="2:6" x14ac:dyDescent="0.2">
      <c r="B5551" s="9" t="s">
        <v>11700</v>
      </c>
      <c r="C5551" s="15" t="s">
        <v>11701</v>
      </c>
      <c r="D5551" s="12" t="str">
        <f>"2213-2317"</f>
        <v>2213-2317</v>
      </c>
      <c r="E5551" s="5">
        <v>11.798999999999999</v>
      </c>
      <c r="F5551" s="5">
        <v>0.93200000000000005</v>
      </c>
    </row>
    <row r="5552" spans="2:6" x14ac:dyDescent="0.2">
      <c r="B5552" s="9" t="s">
        <v>7475</v>
      </c>
      <c r="C5552" s="15" t="s">
        <v>2699</v>
      </c>
      <c r="D5552" s="12" t="str">
        <f>"1743-2928"</f>
        <v>1743-2928</v>
      </c>
      <c r="E5552" s="5">
        <v>4.4119999999999999</v>
      </c>
      <c r="F5552" s="5">
        <v>0.61499999999999999</v>
      </c>
    </row>
    <row r="5553" spans="2:6" x14ac:dyDescent="0.2">
      <c r="B5553" s="9" t="s">
        <v>11702</v>
      </c>
      <c r="C5553" s="15" t="s">
        <v>11703</v>
      </c>
      <c r="D5553" s="12" t="str">
        <f>"0090-7324"</f>
        <v>0090-7324</v>
      </c>
      <c r="E5553" s="5">
        <v>0.83099999999999996</v>
      </c>
      <c r="F5553" s="5">
        <v>0.23499999999999999</v>
      </c>
    </row>
    <row r="5554" spans="2:6" x14ac:dyDescent="0.2">
      <c r="B5554" s="9" t="s">
        <v>22</v>
      </c>
      <c r="C5554" s="15" t="s">
        <v>23</v>
      </c>
      <c r="D5554" s="12" t="str">
        <f>"1094-9054"</f>
        <v>1094-9054</v>
      </c>
      <c r="E5554" s="5">
        <v>0.65</v>
      </c>
      <c r="F5554" s="5">
        <v>0.17599999999999999</v>
      </c>
    </row>
    <row r="5555" spans="2:6" x14ac:dyDescent="0.2">
      <c r="B5555" s="9" t="s">
        <v>24</v>
      </c>
      <c r="C5555" s="15" t="s">
        <v>25</v>
      </c>
      <c r="D5555" s="12" t="str">
        <f>"1746-0751"</f>
        <v>1746-0751</v>
      </c>
      <c r="E5555" s="5">
        <v>3.806</v>
      </c>
      <c r="F5555" s="5">
        <v>0.60899999999999999</v>
      </c>
    </row>
    <row r="5556" spans="2:6" x14ac:dyDescent="0.2">
      <c r="B5556" s="9" t="s">
        <v>11704</v>
      </c>
      <c r="C5556" s="15" t="s">
        <v>11705</v>
      </c>
      <c r="D5556" s="12" t="str">
        <f>"2352-3204"</f>
        <v>2352-3204</v>
      </c>
      <c r="E5556" s="5">
        <v>3.419</v>
      </c>
      <c r="F5556" s="5">
        <v>0.55200000000000005</v>
      </c>
    </row>
    <row r="5557" spans="2:6" x14ac:dyDescent="0.2">
      <c r="B5557" s="9" t="s">
        <v>7476</v>
      </c>
      <c r="C5557" s="15" t="s">
        <v>2700</v>
      </c>
      <c r="D5557" s="12" t="str">
        <f>"1098-7339"</f>
        <v>1098-7339</v>
      </c>
      <c r="E5557" s="5">
        <v>6.2880000000000003</v>
      </c>
      <c r="F5557" s="5">
        <v>0.84799999999999998</v>
      </c>
    </row>
    <row r="5558" spans="2:6" x14ac:dyDescent="0.2">
      <c r="B5558" s="9" t="s">
        <v>7477</v>
      </c>
      <c r="C5558" s="15" t="s">
        <v>2701</v>
      </c>
      <c r="D5558" s="12" t="str">
        <f>"1096-0295"</f>
        <v>1096-0295</v>
      </c>
      <c r="E5558" s="5">
        <v>3.2709999999999999</v>
      </c>
      <c r="F5558" s="5">
        <v>0.88200000000000001</v>
      </c>
    </row>
    <row r="5559" spans="2:6" x14ac:dyDescent="0.2">
      <c r="B5559" s="9" t="s">
        <v>26</v>
      </c>
      <c r="C5559" s="15" t="s">
        <v>27</v>
      </c>
      <c r="D5559" s="12" t="str">
        <f>"0034-3552"</f>
        <v>0034-3552</v>
      </c>
      <c r="E5559" s="5">
        <v>1.6140000000000001</v>
      </c>
      <c r="F5559" s="5">
        <v>0.252</v>
      </c>
    </row>
    <row r="5560" spans="2:6" x14ac:dyDescent="0.2">
      <c r="B5560" s="9" t="s">
        <v>11706</v>
      </c>
      <c r="C5560" s="15" t="s">
        <v>11706</v>
      </c>
      <c r="D5560" s="12" t="str">
        <f>"0034-3536"</f>
        <v>0034-3536</v>
      </c>
      <c r="E5560" s="5">
        <v>1.113</v>
      </c>
      <c r="F5560" s="5">
        <v>0.10100000000000001</v>
      </c>
    </row>
    <row r="5561" spans="2:6" x14ac:dyDescent="0.2">
      <c r="B5561" s="9" t="s">
        <v>28</v>
      </c>
      <c r="C5561" s="15" t="s">
        <v>29</v>
      </c>
      <c r="D5561" s="12" t="str">
        <f>"0278-4807"</f>
        <v>0278-4807</v>
      </c>
      <c r="E5561" s="5">
        <v>1.625</v>
      </c>
      <c r="F5561" s="5">
        <v>0.35699999999999998</v>
      </c>
    </row>
    <row r="5562" spans="2:6" x14ac:dyDescent="0.2">
      <c r="B5562" s="9" t="s">
        <v>30</v>
      </c>
      <c r="C5562" s="15" t="s">
        <v>31</v>
      </c>
      <c r="D5562" s="12" t="str">
        <f>"0090-5550"</f>
        <v>0090-5550</v>
      </c>
      <c r="E5562" s="5">
        <v>2.5640000000000001</v>
      </c>
      <c r="F5562" s="5">
        <v>0.69699999999999995</v>
      </c>
    </row>
    <row r="5563" spans="2:6" x14ac:dyDescent="0.2">
      <c r="B5563" s="9" t="s">
        <v>7478</v>
      </c>
      <c r="C5563" s="15" t="s">
        <v>2702</v>
      </c>
      <c r="D5563" s="12" t="str">
        <f>"1549-1684"</f>
        <v>1549-1684</v>
      </c>
      <c r="E5563" s="5">
        <v>4.6630000000000003</v>
      </c>
      <c r="F5563" s="5">
        <v>0.71699999999999997</v>
      </c>
    </row>
    <row r="5564" spans="2:6" x14ac:dyDescent="0.2">
      <c r="B5564" s="9" t="s">
        <v>7479</v>
      </c>
      <c r="C5564" s="15" t="s">
        <v>7479</v>
      </c>
      <c r="D5564" s="12" t="str">
        <f>"0886-022X"</f>
        <v>0886-022X</v>
      </c>
      <c r="E5564" s="5">
        <v>2.6059999999999999</v>
      </c>
      <c r="F5564" s="5">
        <v>0.40400000000000003</v>
      </c>
    </row>
    <row r="5565" spans="2:6" x14ac:dyDescent="0.2">
      <c r="B5565" s="9" t="s">
        <v>11707</v>
      </c>
      <c r="C5565" s="15" t="s">
        <v>11708</v>
      </c>
      <c r="D5565" s="12" t="str">
        <f>"2037-4631"</f>
        <v>2037-4631</v>
      </c>
      <c r="E5565" s="5">
        <v>1.627</v>
      </c>
      <c r="F5565" s="5">
        <v>0.375</v>
      </c>
    </row>
    <row r="5566" spans="2:6" x14ac:dyDescent="0.2">
      <c r="B5566" s="9" t="s">
        <v>32</v>
      </c>
      <c r="C5566" s="15" t="s">
        <v>33</v>
      </c>
      <c r="D5566" s="12" t="str">
        <f>"1642-431X"</f>
        <v>1642-431X</v>
      </c>
      <c r="E5566" s="5">
        <v>2.3759999999999999</v>
      </c>
      <c r="F5566" s="5">
        <v>0.26700000000000002</v>
      </c>
    </row>
    <row r="5567" spans="2:6" x14ac:dyDescent="0.2">
      <c r="B5567" s="9" t="s">
        <v>34</v>
      </c>
      <c r="C5567" s="15" t="s">
        <v>35</v>
      </c>
      <c r="D5567" s="12" t="str">
        <f>"1477-7827"</f>
        <v>1477-7827</v>
      </c>
      <c r="E5567" s="5">
        <v>5.2110000000000003</v>
      </c>
      <c r="F5567" s="5">
        <v>0.9</v>
      </c>
    </row>
    <row r="5568" spans="2:6" x14ac:dyDescent="0.2">
      <c r="B5568" s="9" t="s">
        <v>7480</v>
      </c>
      <c r="C5568" s="15" t="s">
        <v>2703</v>
      </c>
      <c r="D5568" s="12" t="str">
        <f>"1472-6483"</f>
        <v>1472-6483</v>
      </c>
      <c r="E5568" s="5">
        <v>3.8279999999999998</v>
      </c>
      <c r="F5568" s="5">
        <v>0.80700000000000005</v>
      </c>
    </row>
    <row r="5569" spans="2:6" x14ac:dyDescent="0.2">
      <c r="B5569" s="9" t="s">
        <v>7481</v>
      </c>
      <c r="C5569" s="15" t="s">
        <v>2704</v>
      </c>
      <c r="D5569" s="12" t="str">
        <f>"0936-6768"</f>
        <v>0936-6768</v>
      </c>
      <c r="E5569" s="5">
        <v>2.0049999999999999</v>
      </c>
      <c r="F5569" s="5">
        <v>0.67800000000000005</v>
      </c>
    </row>
    <row r="5570" spans="2:6" x14ac:dyDescent="0.2">
      <c r="B5570" s="9" t="s">
        <v>7482</v>
      </c>
      <c r="C5570" s="15" t="s">
        <v>2705</v>
      </c>
      <c r="D5570" s="12" t="str">
        <f>"1031-3613"</f>
        <v>1031-3613</v>
      </c>
      <c r="E5570" s="5">
        <v>2.3109999999999999</v>
      </c>
      <c r="F5570" s="5">
        <v>0.78200000000000003</v>
      </c>
    </row>
    <row r="5571" spans="2:6" x14ac:dyDescent="0.2">
      <c r="B5571" s="9" t="s">
        <v>11709</v>
      </c>
      <c r="C5571" s="15" t="s">
        <v>11710</v>
      </c>
      <c r="D5571" s="12" t="str">
        <f>"1742-4755"</f>
        <v>1742-4755</v>
      </c>
      <c r="E5571" s="5">
        <v>3.2229999999999999</v>
      </c>
      <c r="F5571" s="5">
        <v>0.69299999999999995</v>
      </c>
    </row>
    <row r="5572" spans="2:6" x14ac:dyDescent="0.2">
      <c r="B5572" s="9" t="s">
        <v>11711</v>
      </c>
      <c r="C5572" s="15" t="s">
        <v>11712</v>
      </c>
      <c r="D5572" s="12" t="str">
        <f>"1445-5781"</f>
        <v>1445-5781</v>
      </c>
      <c r="E5572" s="5">
        <v>3.2389999999999999</v>
      </c>
      <c r="F5572" s="5">
        <v>0.67500000000000004</v>
      </c>
    </row>
    <row r="5573" spans="2:6" x14ac:dyDescent="0.2">
      <c r="B5573" s="9" t="s">
        <v>36</v>
      </c>
      <c r="C5573" s="15" t="s">
        <v>37</v>
      </c>
      <c r="D5573" s="12" t="str">
        <f>"1933-7191"</f>
        <v>1933-7191</v>
      </c>
      <c r="E5573" s="5">
        <v>3.06</v>
      </c>
      <c r="F5573" s="5">
        <v>0.65100000000000002</v>
      </c>
    </row>
    <row r="5574" spans="2:6" x14ac:dyDescent="0.2">
      <c r="B5574" s="9" t="s">
        <v>7483</v>
      </c>
      <c r="C5574" s="15" t="s">
        <v>2706</v>
      </c>
      <c r="D5574" s="12" t="str">
        <f>"0890-6238"</f>
        <v>0890-6238</v>
      </c>
      <c r="E5574" s="5">
        <v>3.1429999999999998</v>
      </c>
      <c r="F5574" s="5">
        <v>0.5</v>
      </c>
    </row>
    <row r="5575" spans="2:6" x14ac:dyDescent="0.2">
      <c r="B5575" s="9" t="s">
        <v>7484</v>
      </c>
      <c r="C5575" s="15" t="s">
        <v>7484</v>
      </c>
      <c r="D5575" s="12" t="str">
        <f>"1741-7899"</f>
        <v>1741-7899</v>
      </c>
      <c r="E5575" s="5">
        <v>3.9060000000000001</v>
      </c>
      <c r="F5575" s="5">
        <v>0.75600000000000001</v>
      </c>
    </row>
    <row r="5576" spans="2:6" x14ac:dyDescent="0.2">
      <c r="B5576" s="9" t="s">
        <v>11713</v>
      </c>
      <c r="C5576" s="15" t="s">
        <v>11714</v>
      </c>
      <c r="D5576" s="12" t="str">
        <f>"1750-9467"</f>
        <v>1750-9467</v>
      </c>
      <c r="E5576" s="5">
        <v>2.8809999999999998</v>
      </c>
      <c r="F5576" s="5">
        <v>0.84099999999999997</v>
      </c>
    </row>
    <row r="5577" spans="2:6" x14ac:dyDescent="0.2">
      <c r="B5577" s="9" t="s">
        <v>7485</v>
      </c>
      <c r="C5577" s="15" t="s">
        <v>2707</v>
      </c>
      <c r="D5577" s="12" t="str">
        <f>"0922-6168"</f>
        <v>0922-6168</v>
      </c>
      <c r="E5577" s="5">
        <v>2.9140000000000001</v>
      </c>
      <c r="F5577" s="5">
        <v>0.48299999999999998</v>
      </c>
    </row>
    <row r="5578" spans="2:6" x14ac:dyDescent="0.2">
      <c r="B5578" s="9" t="s">
        <v>38</v>
      </c>
      <c r="C5578" s="15" t="s">
        <v>39</v>
      </c>
      <c r="D5578" s="12" t="str">
        <f>"0891-4222"</f>
        <v>0891-4222</v>
      </c>
      <c r="E5578" s="5">
        <v>3.23</v>
      </c>
      <c r="F5578" s="5">
        <v>0.90900000000000003</v>
      </c>
    </row>
    <row r="5579" spans="2:6" x14ac:dyDescent="0.2">
      <c r="B5579" s="9" t="s">
        <v>40</v>
      </c>
      <c r="C5579" s="15" t="s">
        <v>41</v>
      </c>
      <c r="D5579" s="12" t="str">
        <f>"1471-5449"</f>
        <v>1471-5449</v>
      </c>
      <c r="E5579" s="5">
        <v>2.706</v>
      </c>
      <c r="F5579" s="5">
        <v>0.56499999999999995</v>
      </c>
    </row>
    <row r="5580" spans="2:6" x14ac:dyDescent="0.2">
      <c r="B5580" s="9" t="s">
        <v>11715</v>
      </c>
      <c r="C5580" s="15" t="s">
        <v>11716</v>
      </c>
      <c r="D5580" s="12" t="str">
        <f>"1940-4921"</f>
        <v>1940-4921</v>
      </c>
      <c r="E5580" s="5">
        <v>1.571</v>
      </c>
      <c r="F5580" s="5">
        <v>0.34100000000000003</v>
      </c>
    </row>
    <row r="5581" spans="2:6" x14ac:dyDescent="0.2">
      <c r="B5581" s="9" t="s">
        <v>11717</v>
      </c>
      <c r="C5581" s="15" t="s">
        <v>11718</v>
      </c>
      <c r="D5581" s="12" t="str">
        <f>"1542-7609"</f>
        <v>1542-7609</v>
      </c>
      <c r="E5581" s="5">
        <v>2.1789999999999998</v>
      </c>
      <c r="F5581" s="5">
        <v>0.33800000000000002</v>
      </c>
    </row>
    <row r="5582" spans="2:6" x14ac:dyDescent="0.2">
      <c r="B5582" s="9" t="s">
        <v>42</v>
      </c>
      <c r="C5582" s="15" t="s">
        <v>43</v>
      </c>
      <c r="D5582" s="12" t="str">
        <f>"0835-1813"</f>
        <v>0835-1813</v>
      </c>
      <c r="E5582" s="5">
        <v>3.077</v>
      </c>
      <c r="F5582" s="5">
        <v>0.92200000000000004</v>
      </c>
    </row>
    <row r="5583" spans="2:6" x14ac:dyDescent="0.2">
      <c r="B5583" s="9" t="s">
        <v>7486</v>
      </c>
      <c r="C5583" s="15" t="s">
        <v>2708</v>
      </c>
      <c r="D5583" s="12" t="str">
        <f>"0923-2508"</f>
        <v>0923-2508</v>
      </c>
      <c r="E5583" s="5">
        <v>3.992</v>
      </c>
      <c r="F5583" s="5">
        <v>0.60699999999999998</v>
      </c>
    </row>
    <row r="5584" spans="2:6" x14ac:dyDescent="0.2">
      <c r="B5584" s="9" t="s">
        <v>7487</v>
      </c>
      <c r="C5584" s="15" t="s">
        <v>2709</v>
      </c>
      <c r="D5584" s="12" t="str">
        <f>"0160-6891"</f>
        <v>0160-6891</v>
      </c>
      <c r="E5584" s="5">
        <v>2.2280000000000002</v>
      </c>
      <c r="F5584" s="5">
        <v>0.68300000000000005</v>
      </c>
    </row>
    <row r="5585" spans="2:6" x14ac:dyDescent="0.2">
      <c r="B5585" s="9" t="s">
        <v>44</v>
      </c>
      <c r="C5585" s="15" t="s">
        <v>45</v>
      </c>
      <c r="D5585" s="12" t="str">
        <f>"0020-1324"</f>
        <v>0020-1324</v>
      </c>
      <c r="E5585" s="5">
        <v>2.258</v>
      </c>
      <c r="F5585" s="5">
        <v>0.27800000000000002</v>
      </c>
    </row>
    <row r="5586" spans="2:6" x14ac:dyDescent="0.2">
      <c r="B5586" s="9" t="s">
        <v>7493</v>
      </c>
      <c r="C5586" s="15" t="s">
        <v>7493</v>
      </c>
      <c r="D5586" s="12" t="str">
        <f>"0025-7931"</f>
        <v>0025-7931</v>
      </c>
      <c r="E5586" s="5">
        <v>3.58</v>
      </c>
      <c r="F5586" s="5">
        <v>0.64100000000000001</v>
      </c>
    </row>
    <row r="5587" spans="2:6" x14ac:dyDescent="0.2">
      <c r="B5587" s="9" t="s">
        <v>11719</v>
      </c>
      <c r="C5587" s="15" t="s">
        <v>11720</v>
      </c>
      <c r="D5587" s="12" t="str">
        <f>"2590-0412"</f>
        <v>2590-0412</v>
      </c>
      <c r="E5587" s="5">
        <v>1.125</v>
      </c>
      <c r="F5587" s="5">
        <v>4.7E-2</v>
      </c>
    </row>
    <row r="5588" spans="2:6" x14ac:dyDescent="0.2">
      <c r="B5588" s="9" t="s">
        <v>6591</v>
      </c>
      <c r="C5588" s="15" t="s">
        <v>6591</v>
      </c>
      <c r="D5588" s="12" t="str">
        <f>"1440-1843"</f>
        <v>1440-1843</v>
      </c>
      <c r="E5588" s="5">
        <v>6.4240000000000004</v>
      </c>
      <c r="F5588" s="5">
        <v>0.82799999999999996</v>
      </c>
    </row>
    <row r="5589" spans="2:6" x14ac:dyDescent="0.2">
      <c r="B5589" s="9" t="s">
        <v>7490</v>
      </c>
      <c r="C5589" s="15" t="s">
        <v>2712</v>
      </c>
      <c r="D5589" s="12" t="str">
        <f>"0954-6111"</f>
        <v>0954-6111</v>
      </c>
      <c r="E5589" s="5">
        <v>3.415</v>
      </c>
      <c r="F5589" s="5">
        <v>0.59399999999999997</v>
      </c>
    </row>
    <row r="5590" spans="2:6" x14ac:dyDescent="0.2">
      <c r="B5590" s="9" t="s">
        <v>7491</v>
      </c>
      <c r="C5590" s="15" t="s">
        <v>2713</v>
      </c>
      <c r="D5590" s="12" t="str">
        <f>"1569-9048"</f>
        <v>1569-9048</v>
      </c>
      <c r="E5590" s="5">
        <v>1.931</v>
      </c>
      <c r="F5590" s="5">
        <v>0.19800000000000001</v>
      </c>
    </row>
    <row r="5591" spans="2:6" x14ac:dyDescent="0.2">
      <c r="B5591" s="9" t="s">
        <v>11721</v>
      </c>
      <c r="C5591" s="15" t="s">
        <v>11722</v>
      </c>
      <c r="D5591" s="12" t="str">
        <f>"1540-7969"</f>
        <v>1540-7969</v>
      </c>
      <c r="E5591" s="5">
        <v>2.4860000000000002</v>
      </c>
      <c r="F5591" s="5">
        <v>0.65900000000000003</v>
      </c>
    </row>
    <row r="5592" spans="2:6" x14ac:dyDescent="0.2">
      <c r="B5592" s="9" t="s">
        <v>7492</v>
      </c>
      <c r="C5592" s="15" t="s">
        <v>2714</v>
      </c>
      <c r="D5592" s="12" t="str">
        <f>"1465-993X"</f>
        <v>1465-993X</v>
      </c>
      <c r="E5592" s="5">
        <v>5.6310000000000002</v>
      </c>
      <c r="F5592" s="5">
        <v>0.79700000000000004</v>
      </c>
    </row>
    <row r="5593" spans="2:6" x14ac:dyDescent="0.2">
      <c r="B5593" s="9" t="s">
        <v>7488</v>
      </c>
      <c r="C5593" s="15" t="s">
        <v>2710</v>
      </c>
      <c r="D5593" s="12" t="str">
        <f>"0270-1367"</f>
        <v>0270-1367</v>
      </c>
      <c r="E5593" s="5">
        <v>2.5</v>
      </c>
      <c r="F5593" s="5">
        <v>0.46800000000000003</v>
      </c>
    </row>
    <row r="5594" spans="2:6" x14ac:dyDescent="0.2">
      <c r="B5594" s="9" t="s">
        <v>11723</v>
      </c>
      <c r="C5594" s="15" t="s">
        <v>11724</v>
      </c>
      <c r="D5594" s="12" t="str">
        <f>"1551-7411"</f>
        <v>1551-7411</v>
      </c>
      <c r="E5594" s="5">
        <v>3.3359999999999999</v>
      </c>
      <c r="F5594" s="5">
        <v>0.71299999999999997</v>
      </c>
    </row>
    <row r="5595" spans="2:6" x14ac:dyDescent="0.2">
      <c r="B5595" s="9" t="s">
        <v>11725</v>
      </c>
      <c r="C5595" s="15" t="s">
        <v>11726</v>
      </c>
      <c r="D5595" s="12" t="str">
        <f>"1543-8627"</f>
        <v>1543-8627</v>
      </c>
      <c r="E5595" s="5">
        <v>4.6740000000000004</v>
      </c>
      <c r="F5595" s="5">
        <v>0.85199999999999998</v>
      </c>
    </row>
    <row r="5596" spans="2:6" x14ac:dyDescent="0.2">
      <c r="B5596" s="9" t="s">
        <v>11727</v>
      </c>
      <c r="C5596" s="15" t="s">
        <v>11728</v>
      </c>
      <c r="D5596" s="12" t="str">
        <f>"1759-2879"</f>
        <v>1759-2879</v>
      </c>
      <c r="E5596" s="5">
        <v>5.2729999999999997</v>
      </c>
      <c r="F5596" s="5">
        <v>0.91400000000000003</v>
      </c>
    </row>
    <row r="5597" spans="2:6" ht="25.5" x14ac:dyDescent="0.2">
      <c r="B5597" s="9" t="s">
        <v>11729</v>
      </c>
      <c r="C5597" s="15" t="s">
        <v>11730</v>
      </c>
      <c r="D5597" s="12" t="str">
        <f>"0034-5806"</f>
        <v>0034-5806</v>
      </c>
      <c r="E5597" s="5">
        <v>0.29599999999999999</v>
      </c>
      <c r="F5597" s="5">
        <v>8.2000000000000003E-2</v>
      </c>
    </row>
    <row r="5598" spans="2:6" x14ac:dyDescent="0.2">
      <c r="B5598" s="9" t="s">
        <v>11731</v>
      </c>
      <c r="C5598" s="15" t="s">
        <v>11732</v>
      </c>
      <c r="D5598" s="12" t="str">
        <f>"1541-6577"</f>
        <v>1541-6577</v>
      </c>
      <c r="E5598" s="5">
        <v>0.68799999999999994</v>
      </c>
      <c r="F5598" s="5">
        <v>4.8000000000000001E-2</v>
      </c>
    </row>
    <row r="5599" spans="2:6" x14ac:dyDescent="0.2">
      <c r="B5599" s="9" t="s">
        <v>6592</v>
      </c>
      <c r="C5599" s="15" t="s">
        <v>2715</v>
      </c>
      <c r="D5599" s="12" t="str">
        <f>"0922-6028"</f>
        <v>0922-6028</v>
      </c>
      <c r="E5599" s="5">
        <v>2.4060000000000001</v>
      </c>
      <c r="F5599" s="5">
        <v>0.23799999999999999</v>
      </c>
    </row>
    <row r="5600" spans="2:6" x14ac:dyDescent="0.2">
      <c r="B5600" s="9" t="s">
        <v>6593</v>
      </c>
      <c r="C5600" s="15" t="s">
        <v>6593</v>
      </c>
      <c r="D5600" s="12" t="str">
        <f>"0300-9572"</f>
        <v>0300-9572</v>
      </c>
      <c r="E5600" s="5">
        <v>5.2619999999999996</v>
      </c>
      <c r="F5600" s="5">
        <v>0.93799999999999994</v>
      </c>
    </row>
    <row r="5601" spans="2:6" x14ac:dyDescent="0.2">
      <c r="B5601" s="9" t="s">
        <v>7489</v>
      </c>
      <c r="C5601" s="15" t="s">
        <v>2711</v>
      </c>
      <c r="D5601" s="12" t="str">
        <f>"1532-2661"</f>
        <v>1532-2661</v>
      </c>
      <c r="E5601" s="5">
        <v>2.5339999999999998</v>
      </c>
      <c r="F5601" s="5">
        <v>0.80100000000000005</v>
      </c>
    </row>
    <row r="5602" spans="2:6" x14ac:dyDescent="0.2">
      <c r="B5602" s="9" t="s">
        <v>6594</v>
      </c>
      <c r="C5602" s="15" t="s">
        <v>2716</v>
      </c>
      <c r="D5602" s="12" t="str">
        <f>"0275-004X"</f>
        <v>0275-004X</v>
      </c>
      <c r="E5602" s="5">
        <v>4.2560000000000002</v>
      </c>
      <c r="F5602" s="5">
        <v>0.85499999999999998</v>
      </c>
    </row>
    <row r="5603" spans="2:6" x14ac:dyDescent="0.2">
      <c r="B5603" s="9" t="s">
        <v>46</v>
      </c>
      <c r="C5603" s="15" t="s">
        <v>47</v>
      </c>
      <c r="D5603" s="12" t="str">
        <f>"1742-4690"</f>
        <v>1742-4690</v>
      </c>
      <c r="E5603" s="5">
        <v>4.6020000000000003</v>
      </c>
      <c r="F5603" s="5">
        <v>0.72199999999999998</v>
      </c>
    </row>
    <row r="5604" spans="2:6" x14ac:dyDescent="0.2">
      <c r="B5604" s="9" t="s">
        <v>6595</v>
      </c>
      <c r="C5604" s="15" t="s">
        <v>2717</v>
      </c>
      <c r="D5604" s="12" t="str">
        <f>"0793-0135"</f>
        <v>0793-0135</v>
      </c>
      <c r="E5604" s="5">
        <v>3.0670000000000002</v>
      </c>
      <c r="F5604" s="5">
        <v>0.53</v>
      </c>
    </row>
    <row r="5605" spans="2:6" x14ac:dyDescent="0.2">
      <c r="B5605" s="9" t="s">
        <v>11733</v>
      </c>
      <c r="C5605" s="15" t="s">
        <v>11734</v>
      </c>
      <c r="D5605" s="12" t="str">
        <f>"0325-7541"</f>
        <v>0325-7541</v>
      </c>
      <c r="E5605" s="5">
        <v>1.8520000000000001</v>
      </c>
      <c r="F5605" s="5">
        <v>0.111</v>
      </c>
    </row>
    <row r="5606" spans="2:6" x14ac:dyDescent="0.2">
      <c r="B5606" s="9" t="s">
        <v>48</v>
      </c>
      <c r="C5606" s="15" t="s">
        <v>49</v>
      </c>
      <c r="D5606" s="12" t="str">
        <f>"1806-9282"</f>
        <v>1806-9282</v>
      </c>
      <c r="E5606" s="5">
        <v>1.2090000000000001</v>
      </c>
      <c r="F5606" s="5">
        <v>0.24</v>
      </c>
    </row>
    <row r="5607" spans="2:6" x14ac:dyDescent="0.2">
      <c r="B5607" s="9" t="s">
        <v>6596</v>
      </c>
      <c r="C5607" s="15" t="s">
        <v>2718</v>
      </c>
      <c r="D5607" s="12" t="str">
        <f>"0034-7744"</f>
        <v>0034-7744</v>
      </c>
      <c r="E5607" s="5">
        <v>0.72299999999999998</v>
      </c>
      <c r="F5607" s="5">
        <v>0.11799999999999999</v>
      </c>
    </row>
    <row r="5608" spans="2:6" x14ac:dyDescent="0.2">
      <c r="B5608" s="9" t="s">
        <v>11735</v>
      </c>
      <c r="C5608" s="15" t="s">
        <v>11736</v>
      </c>
      <c r="D5608" s="12" t="str">
        <f>"0034-7094"</f>
        <v>0034-7094</v>
      </c>
      <c r="E5608" s="5">
        <v>0.96399999999999997</v>
      </c>
      <c r="F5608" s="5">
        <v>6.0999999999999999E-2</v>
      </c>
    </row>
    <row r="5609" spans="2:6" x14ac:dyDescent="0.2">
      <c r="B5609" s="9" t="s">
        <v>50</v>
      </c>
      <c r="C5609" s="15" t="s">
        <v>51</v>
      </c>
      <c r="D5609" s="12" t="str">
        <f>"0102-695X"</f>
        <v>0102-695X</v>
      </c>
      <c r="E5609" s="5">
        <v>2.0099999999999998</v>
      </c>
      <c r="F5609" s="5">
        <v>0.24199999999999999</v>
      </c>
    </row>
    <row r="5610" spans="2:6" x14ac:dyDescent="0.2">
      <c r="B5610" s="9" t="s">
        <v>11737</v>
      </c>
      <c r="C5610" s="15" t="s">
        <v>11738</v>
      </c>
      <c r="D5610" s="12" t="str">
        <f>"1517-8692"</f>
        <v>1517-8692</v>
      </c>
      <c r="E5610" s="5">
        <v>0.58899999999999997</v>
      </c>
      <c r="F5610" s="5">
        <v>6.2E-2</v>
      </c>
    </row>
    <row r="5611" spans="2:6" x14ac:dyDescent="0.2">
      <c r="B5611" s="9" t="s">
        <v>52</v>
      </c>
      <c r="C5611" s="15" t="s">
        <v>53</v>
      </c>
      <c r="D5611" s="12" t="str">
        <f>"0103-846X"</f>
        <v>0103-846X</v>
      </c>
      <c r="E5611" s="5">
        <v>1.458</v>
      </c>
      <c r="F5611" s="5">
        <v>0.48599999999999999</v>
      </c>
    </row>
    <row r="5612" spans="2:6" x14ac:dyDescent="0.2">
      <c r="B5612" s="9" t="s">
        <v>54</v>
      </c>
      <c r="C5612" s="15" t="s">
        <v>55</v>
      </c>
      <c r="D5612" s="12" t="str">
        <f>"1809-452X"</f>
        <v>1809-452X</v>
      </c>
      <c r="E5612" s="5">
        <v>2.6970000000000001</v>
      </c>
      <c r="F5612" s="5">
        <v>0.43099999999999999</v>
      </c>
    </row>
    <row r="5613" spans="2:6" x14ac:dyDescent="0.2">
      <c r="B5613" s="9" t="s">
        <v>6597</v>
      </c>
      <c r="C5613" s="15" t="s">
        <v>2719</v>
      </c>
      <c r="D5613" s="12" t="str">
        <f>"1516-3598"</f>
        <v>1516-3598</v>
      </c>
      <c r="E5613" s="5">
        <v>0.96699999999999997</v>
      </c>
      <c r="F5613" s="5">
        <v>0.32200000000000001</v>
      </c>
    </row>
    <row r="5614" spans="2:6" x14ac:dyDescent="0.2">
      <c r="B5614" s="9" t="s">
        <v>56</v>
      </c>
      <c r="C5614" s="15" t="s">
        <v>57</v>
      </c>
      <c r="D5614" s="12" t="str">
        <f>"1530-6550"</f>
        <v>1530-6550</v>
      </c>
      <c r="E5614" s="5">
        <v>2.93</v>
      </c>
      <c r="F5614" s="5">
        <v>0.46100000000000002</v>
      </c>
    </row>
    <row r="5615" spans="2:6" x14ac:dyDescent="0.2">
      <c r="B5615" s="9" t="s">
        <v>11739</v>
      </c>
      <c r="C5615" s="15" t="s">
        <v>11740</v>
      </c>
      <c r="D5615" s="12" t="str">
        <f>"1583-3410"</f>
        <v>1583-3410</v>
      </c>
      <c r="E5615" s="5">
        <v>0.31</v>
      </c>
      <c r="F5615" s="5">
        <v>4.5999999999999999E-2</v>
      </c>
    </row>
    <row r="5616" spans="2:6" x14ac:dyDescent="0.2">
      <c r="B5616" s="9" t="s">
        <v>58</v>
      </c>
      <c r="C5616" s="15" t="s">
        <v>59</v>
      </c>
      <c r="D5616" s="12" t="str">
        <f>"0716-1018"</f>
        <v>0716-1018</v>
      </c>
      <c r="E5616" s="5">
        <v>0.52</v>
      </c>
      <c r="F5616" s="5">
        <v>3.3000000000000002E-2</v>
      </c>
    </row>
    <row r="5617" spans="2:6" x14ac:dyDescent="0.2">
      <c r="B5617" s="9" t="s">
        <v>6598</v>
      </c>
      <c r="C5617" s="15" t="s">
        <v>2720</v>
      </c>
      <c r="D5617" s="12" t="str">
        <f>"0798-2259"</f>
        <v>0798-2259</v>
      </c>
      <c r="E5617" s="5">
        <v>0.44400000000000001</v>
      </c>
      <c r="F5617" s="5">
        <v>0.13</v>
      </c>
    </row>
    <row r="5618" spans="2:6" x14ac:dyDescent="0.2">
      <c r="B5618" s="9" t="s">
        <v>6599</v>
      </c>
      <c r="C5618" s="15" t="s">
        <v>2721</v>
      </c>
      <c r="D5618" s="12" t="str">
        <f>"0014-2565"</f>
        <v>0014-2565</v>
      </c>
      <c r="E5618" s="5">
        <v>1.556</v>
      </c>
      <c r="F5618" s="5">
        <v>0.34699999999999998</v>
      </c>
    </row>
    <row r="5619" spans="2:6" x14ac:dyDescent="0.2">
      <c r="B5619" s="9" t="s">
        <v>11741</v>
      </c>
      <c r="C5619" s="15" t="s">
        <v>11742</v>
      </c>
      <c r="D5619" s="12" t="str">
        <f>"1069-3599"</f>
        <v>1069-3599</v>
      </c>
      <c r="E5619" s="5">
        <v>1.833</v>
      </c>
      <c r="F5619" s="5">
        <v>0.315</v>
      </c>
    </row>
    <row r="5620" spans="2:6" x14ac:dyDescent="0.2">
      <c r="B5620" s="9" t="s">
        <v>6600</v>
      </c>
      <c r="C5620" s="15" t="s">
        <v>2722</v>
      </c>
      <c r="D5620" s="12" t="str">
        <f>"1389-9155"</f>
        <v>1389-9155</v>
      </c>
      <c r="E5620" s="5">
        <v>6.5140000000000002</v>
      </c>
      <c r="F5620" s="5">
        <v>0.84799999999999998</v>
      </c>
    </row>
    <row r="5621" spans="2:6" x14ac:dyDescent="0.2">
      <c r="B5621" s="9" t="s">
        <v>6601</v>
      </c>
      <c r="C5621" s="15" t="s">
        <v>11743</v>
      </c>
      <c r="D5621" s="12" t="str">
        <f>"0179-5953"</f>
        <v>0179-5953</v>
      </c>
      <c r="E5621" s="5">
        <v>7.5629999999999997</v>
      </c>
      <c r="F5621" s="5">
        <v>0.95699999999999996</v>
      </c>
    </row>
    <row r="5622" spans="2:6" x14ac:dyDescent="0.2">
      <c r="B5622" s="9" t="s">
        <v>11744</v>
      </c>
      <c r="C5622" s="15" t="s">
        <v>11745</v>
      </c>
      <c r="D5622" s="12" t="str">
        <f>"0048-7554"</f>
        <v>0048-7554</v>
      </c>
      <c r="E5622" s="5">
        <v>3.4580000000000002</v>
      </c>
      <c r="F5622" s="5">
        <v>0.74099999999999999</v>
      </c>
    </row>
    <row r="5623" spans="2:6" x14ac:dyDescent="0.2">
      <c r="B5623" s="9" t="s">
        <v>11746</v>
      </c>
      <c r="C5623" s="15" t="s">
        <v>11747</v>
      </c>
      <c r="D5623" s="12" t="str">
        <f>"1569-1705"</f>
        <v>1569-1705</v>
      </c>
      <c r="E5623" s="5">
        <v>8.0440000000000005</v>
      </c>
      <c r="F5623" s="5">
        <v>0.91600000000000004</v>
      </c>
    </row>
    <row r="5624" spans="2:6" x14ac:dyDescent="0.2">
      <c r="B5624" s="9" t="s">
        <v>6602</v>
      </c>
      <c r="C5624" s="15" t="s">
        <v>2723</v>
      </c>
      <c r="D5624" s="12" t="str">
        <f>"0398-7620"</f>
        <v>0398-7620</v>
      </c>
      <c r="E5624" s="5">
        <v>1.0189999999999999</v>
      </c>
      <c r="F5624" s="5">
        <v>7.8E-2</v>
      </c>
    </row>
    <row r="5625" spans="2:6" x14ac:dyDescent="0.2">
      <c r="B5625" s="9" t="s">
        <v>60</v>
      </c>
      <c r="C5625" s="15" t="s">
        <v>61</v>
      </c>
      <c r="D5625" s="12" t="str">
        <f>"0080-6234"</f>
        <v>0080-6234</v>
      </c>
      <c r="E5625" s="5">
        <v>1.0860000000000001</v>
      </c>
      <c r="F5625" s="5">
        <v>0.17499999999999999</v>
      </c>
    </row>
    <row r="5626" spans="2:6" x14ac:dyDescent="0.2">
      <c r="B5626" s="9" t="s">
        <v>6603</v>
      </c>
      <c r="C5626" s="15" t="s">
        <v>2724</v>
      </c>
      <c r="D5626" s="12" t="str">
        <f>"0300-8932"</f>
        <v>0300-8932</v>
      </c>
      <c r="E5626" s="5">
        <v>4.7530000000000001</v>
      </c>
      <c r="F5626" s="5">
        <v>0.68799999999999994</v>
      </c>
    </row>
    <row r="5627" spans="2:6" x14ac:dyDescent="0.2">
      <c r="B5627" s="9" t="s">
        <v>11748</v>
      </c>
      <c r="C5627" s="15" t="s">
        <v>11749</v>
      </c>
      <c r="D5627" s="12" t="str">
        <f>"0210-0614"</f>
        <v>0210-0614</v>
      </c>
      <c r="E5627" s="5">
        <v>1.276</v>
      </c>
      <c r="F5627" s="5">
        <v>0.30599999999999999</v>
      </c>
    </row>
    <row r="5628" spans="2:6" x14ac:dyDescent="0.2">
      <c r="B5628" s="9" t="s">
        <v>6604</v>
      </c>
      <c r="C5628" s="15" t="s">
        <v>2725</v>
      </c>
      <c r="D5628" s="12" t="str">
        <f>"1130-0108"</f>
        <v>1130-0108</v>
      </c>
      <c r="E5628" s="5">
        <v>2.0859999999999999</v>
      </c>
      <c r="F5628" s="5">
        <v>9.8000000000000004E-2</v>
      </c>
    </row>
    <row r="5629" spans="2:6" x14ac:dyDescent="0.2">
      <c r="B5629" s="9" t="s">
        <v>11750</v>
      </c>
      <c r="C5629" s="15" t="s">
        <v>11751</v>
      </c>
      <c r="D5629" s="12" t="str">
        <f>"2253-654X"</f>
        <v>2253-654X</v>
      </c>
      <c r="E5629" s="5">
        <v>1.359</v>
      </c>
      <c r="F5629" s="5">
        <v>0.113</v>
      </c>
    </row>
    <row r="5630" spans="2:6" x14ac:dyDescent="0.2">
      <c r="B5630" s="9" t="s">
        <v>62</v>
      </c>
      <c r="C5630" s="15" t="s">
        <v>63</v>
      </c>
      <c r="D5630" s="12" t="str">
        <f>"0214-3429"</f>
        <v>0214-3429</v>
      </c>
      <c r="E5630" s="5">
        <v>1.5529999999999999</v>
      </c>
      <c r="F5630" s="5">
        <v>0.105</v>
      </c>
    </row>
    <row r="5631" spans="2:6" x14ac:dyDescent="0.2">
      <c r="B5631" s="9" t="s">
        <v>11752</v>
      </c>
      <c r="C5631" s="15" t="s">
        <v>11753</v>
      </c>
      <c r="D5631" s="12" t="str">
        <f>"1135-5727"</f>
        <v>1135-5727</v>
      </c>
      <c r="E5631" s="5">
        <v>0.75600000000000001</v>
      </c>
      <c r="F5631" s="5">
        <v>4.3999999999999997E-2</v>
      </c>
    </row>
    <row r="5632" spans="2:6" x14ac:dyDescent="0.2">
      <c r="B5632" s="9" t="s">
        <v>11754</v>
      </c>
      <c r="C5632" s="15" t="s">
        <v>11755</v>
      </c>
      <c r="D5632" s="12" t="str">
        <f>"0123-885X"</f>
        <v>0123-885X</v>
      </c>
      <c r="E5632" s="5">
        <v>0.95299999999999996</v>
      </c>
      <c r="F5632" s="5">
        <v>0.22900000000000001</v>
      </c>
    </row>
    <row r="5633" spans="2:6" x14ac:dyDescent="0.2">
      <c r="B5633" s="9" t="s">
        <v>6605</v>
      </c>
      <c r="C5633" s="15" t="s">
        <v>11756</v>
      </c>
      <c r="D5633" s="12" t="str">
        <f>"1877-0320"</f>
        <v>1877-0320</v>
      </c>
      <c r="E5633" s="5">
        <v>0.28799999999999998</v>
      </c>
      <c r="F5633" s="5">
        <v>7.0999999999999994E-2</v>
      </c>
    </row>
    <row r="5634" spans="2:6" x14ac:dyDescent="0.2">
      <c r="B5634" s="9" t="s">
        <v>64</v>
      </c>
      <c r="C5634" s="15" t="s">
        <v>65</v>
      </c>
      <c r="D5634" s="12" t="str">
        <f>"1089-2680"</f>
        <v>1089-2680</v>
      </c>
      <c r="E5634" s="5">
        <v>3.4430000000000001</v>
      </c>
      <c r="F5634" s="5">
        <v>0.76300000000000001</v>
      </c>
    </row>
    <row r="5635" spans="2:6" x14ac:dyDescent="0.2">
      <c r="B5635" s="9" t="s">
        <v>11757</v>
      </c>
      <c r="C5635" s="15" t="s">
        <v>11758</v>
      </c>
      <c r="D5635" s="12" t="str">
        <f>"1262-022X"</f>
        <v>1262-022X</v>
      </c>
      <c r="E5635" s="5">
        <v>0.44400000000000001</v>
      </c>
      <c r="F5635" s="5">
        <v>0.216</v>
      </c>
    </row>
    <row r="5636" spans="2:6" x14ac:dyDescent="0.2">
      <c r="B5636" s="9" t="s">
        <v>11759</v>
      </c>
      <c r="C5636" s="15" t="s">
        <v>11760</v>
      </c>
      <c r="D5636" s="12" t="str">
        <f>"2183-6051"</f>
        <v>2183-6051</v>
      </c>
      <c r="E5636" s="5">
        <v>1</v>
      </c>
      <c r="F5636" s="5">
        <v>0.123</v>
      </c>
    </row>
    <row r="5637" spans="2:6" x14ac:dyDescent="0.2">
      <c r="B5637" s="9" t="s">
        <v>11761</v>
      </c>
      <c r="C5637" s="15" t="s">
        <v>11762</v>
      </c>
      <c r="D5637" s="12" t="str">
        <f>"1130-1406"</f>
        <v>1130-1406</v>
      </c>
      <c r="E5637" s="5">
        <v>1.044</v>
      </c>
      <c r="F5637" s="5">
        <v>6.9000000000000006E-2</v>
      </c>
    </row>
    <row r="5638" spans="2:6" x14ac:dyDescent="0.2">
      <c r="B5638" s="9" t="s">
        <v>6606</v>
      </c>
      <c r="C5638" s="15" t="s">
        <v>2726</v>
      </c>
      <c r="D5638" s="12" t="str">
        <f>"0193-4929"</f>
        <v>0193-4929</v>
      </c>
      <c r="E5638" s="5">
        <v>2.625</v>
      </c>
      <c r="F5638" s="5">
        <v>0.622</v>
      </c>
    </row>
    <row r="5639" spans="2:6" x14ac:dyDescent="0.2">
      <c r="B5639" s="9" t="s">
        <v>11763</v>
      </c>
      <c r="C5639" s="15" t="s">
        <v>11764</v>
      </c>
      <c r="D5639" s="12" t="str">
        <f>"0036-4665"</f>
        <v>0036-4665</v>
      </c>
      <c r="E5639" s="5">
        <v>1.8460000000000001</v>
      </c>
      <c r="F5639" s="5">
        <v>0.47799999999999998</v>
      </c>
    </row>
    <row r="5640" spans="2:6" x14ac:dyDescent="0.2">
      <c r="B5640" s="9" t="s">
        <v>11765</v>
      </c>
      <c r="C5640" s="15" t="s">
        <v>11766</v>
      </c>
      <c r="D5640" s="12" t="str">
        <f>"1698-031X"</f>
        <v>1698-031X</v>
      </c>
      <c r="E5640" s="5">
        <v>1.0629999999999999</v>
      </c>
      <c r="F5640" s="5">
        <v>0.125</v>
      </c>
    </row>
    <row r="5641" spans="2:6" x14ac:dyDescent="0.2">
      <c r="B5641" s="9" t="s">
        <v>11767</v>
      </c>
      <c r="C5641" s="15" t="s">
        <v>11768</v>
      </c>
      <c r="D5641" s="12" t="str">
        <f>"1577-0354"</f>
        <v>1577-0354</v>
      </c>
      <c r="E5641" s="5">
        <v>1.4059999999999999</v>
      </c>
      <c r="F5641" s="5">
        <v>0.14799999999999999</v>
      </c>
    </row>
    <row r="5642" spans="2:6" x14ac:dyDescent="0.2">
      <c r="B5642" s="9" t="s">
        <v>6607</v>
      </c>
      <c r="C5642" s="15" t="s">
        <v>11769</v>
      </c>
      <c r="D5642" s="12" t="str">
        <f>"0034-8376"</f>
        <v>0034-8376</v>
      </c>
      <c r="E5642" s="5">
        <v>1.4510000000000001</v>
      </c>
      <c r="F5642" s="5">
        <v>0.32300000000000001</v>
      </c>
    </row>
    <row r="5643" spans="2:6" x14ac:dyDescent="0.2">
      <c r="B5643" s="9" t="s">
        <v>11770</v>
      </c>
      <c r="C5643" s="15" t="s">
        <v>11771</v>
      </c>
      <c r="D5643" s="12" t="str">
        <f>"2195-7177"</f>
        <v>2195-7177</v>
      </c>
      <c r="E5643" s="5">
        <v>2.6</v>
      </c>
      <c r="F5643" s="5">
        <v>0.55800000000000005</v>
      </c>
    </row>
    <row r="5644" spans="2:6" x14ac:dyDescent="0.2">
      <c r="B5644" s="9" t="s">
        <v>68</v>
      </c>
      <c r="C5644" s="15" t="s">
        <v>69</v>
      </c>
      <c r="D5644" s="12" t="str">
        <f>"1518-8345"</f>
        <v>1518-8345</v>
      </c>
      <c r="E5644" s="5">
        <v>1.4419999999999999</v>
      </c>
      <c r="F5644" s="5">
        <v>0.317</v>
      </c>
    </row>
    <row r="5645" spans="2:6" x14ac:dyDescent="0.2">
      <c r="B5645" s="9" t="s">
        <v>66</v>
      </c>
      <c r="C5645" s="15" t="s">
        <v>67</v>
      </c>
      <c r="D5645" s="12" t="str">
        <f>"0120-0534"</f>
        <v>0120-0534</v>
      </c>
      <c r="E5645" s="5">
        <v>1.19</v>
      </c>
      <c r="F5645" s="5">
        <v>0.23</v>
      </c>
    </row>
    <row r="5646" spans="2:6" x14ac:dyDescent="0.2">
      <c r="B5646" s="9" t="s">
        <v>6608</v>
      </c>
      <c r="C5646" s="15" t="s">
        <v>2727</v>
      </c>
      <c r="D5646" s="12" t="str">
        <f>"0761-8425"</f>
        <v>0761-8425</v>
      </c>
      <c r="E5646" s="5">
        <v>0.622</v>
      </c>
      <c r="F5646" s="5">
        <v>1.6E-2</v>
      </c>
    </row>
    <row r="5647" spans="2:6" x14ac:dyDescent="0.2">
      <c r="B5647" s="9" t="s">
        <v>6609</v>
      </c>
      <c r="C5647" s="15" t="s">
        <v>2728</v>
      </c>
      <c r="D5647" s="12" t="str">
        <f>"0034-9887"</f>
        <v>0034-9887</v>
      </c>
      <c r="E5647" s="5">
        <v>0.55300000000000005</v>
      </c>
      <c r="F5647" s="5">
        <v>0.09</v>
      </c>
    </row>
    <row r="5648" spans="2:6" x14ac:dyDescent="0.2">
      <c r="B5648" s="9" t="s">
        <v>6610</v>
      </c>
      <c r="C5648" s="15" t="s">
        <v>2729</v>
      </c>
      <c r="D5648" s="12" t="str">
        <f>"0248-8663"</f>
        <v>0248-8663</v>
      </c>
      <c r="E5648" s="5">
        <v>0.72799999999999998</v>
      </c>
      <c r="F5648" s="5">
        <v>0.126</v>
      </c>
    </row>
    <row r="5649" spans="2:6" x14ac:dyDescent="0.2">
      <c r="B5649" s="9" t="s">
        <v>6611</v>
      </c>
      <c r="C5649" s="15" t="s">
        <v>2730</v>
      </c>
      <c r="D5649" s="12" t="str">
        <f>"0035-1555"</f>
        <v>0035-1555</v>
      </c>
      <c r="E5649" s="5">
        <v>0.77600000000000002</v>
      </c>
      <c r="F5649" s="5">
        <v>0.26700000000000002</v>
      </c>
    </row>
    <row r="5650" spans="2:6" x14ac:dyDescent="0.2">
      <c r="B5650" s="9" t="s">
        <v>6612</v>
      </c>
      <c r="C5650" s="15" t="s">
        <v>2731</v>
      </c>
      <c r="D5650" s="12" t="str">
        <f>"1052-9276"</f>
        <v>1052-9276</v>
      </c>
      <c r="E5650" s="5">
        <v>6.9889999999999999</v>
      </c>
      <c r="F5650" s="5">
        <v>0.86099999999999999</v>
      </c>
    </row>
    <row r="5651" spans="2:6" x14ac:dyDescent="0.2">
      <c r="B5651" s="9" t="s">
        <v>70</v>
      </c>
      <c r="C5651" s="15" t="s">
        <v>71</v>
      </c>
      <c r="D5651" s="12" t="str">
        <f>"0185-6073"</f>
        <v>0185-6073</v>
      </c>
      <c r="E5651" s="5">
        <v>0.53600000000000003</v>
      </c>
      <c r="F5651" s="5">
        <v>5.8000000000000003E-2</v>
      </c>
    </row>
    <row r="5652" spans="2:6" x14ac:dyDescent="0.2">
      <c r="B5652" s="9" t="s">
        <v>72</v>
      </c>
      <c r="C5652" s="15" t="s">
        <v>73</v>
      </c>
      <c r="D5652" s="12" t="str">
        <f>"0326-3428"</f>
        <v>0326-3428</v>
      </c>
      <c r="E5652" s="5">
        <v>0.14000000000000001</v>
      </c>
      <c r="F5652" s="5">
        <v>1.0999999999999999E-2</v>
      </c>
    </row>
    <row r="5653" spans="2:6" x14ac:dyDescent="0.2">
      <c r="B5653" s="9" t="s">
        <v>6613</v>
      </c>
      <c r="C5653" s="15" t="s">
        <v>2732</v>
      </c>
      <c r="D5653" s="12" t="str">
        <f>"0035-3787"</f>
        <v>0035-3787</v>
      </c>
      <c r="E5653" s="5">
        <v>2.6070000000000002</v>
      </c>
      <c r="F5653" s="5">
        <v>0.32700000000000001</v>
      </c>
    </row>
    <row r="5654" spans="2:6" x14ac:dyDescent="0.2">
      <c r="B5654" s="9" t="s">
        <v>6614</v>
      </c>
      <c r="C5654" s="15" t="s">
        <v>2733</v>
      </c>
      <c r="D5654" s="12" t="str">
        <f>"0210-0010"</f>
        <v>0210-0010</v>
      </c>
      <c r="E5654" s="5">
        <v>0.87</v>
      </c>
      <c r="F5654" s="5">
        <v>2.9000000000000001E-2</v>
      </c>
    </row>
    <row r="5655" spans="2:6" x14ac:dyDescent="0.2">
      <c r="B5655" s="9" t="s">
        <v>11772</v>
      </c>
      <c r="C5655" s="15" t="s">
        <v>2734</v>
      </c>
      <c r="D5655" s="12" t="str">
        <f>"0334-1763"</f>
        <v>0334-1763</v>
      </c>
      <c r="E5655" s="5">
        <v>4.3529999999999998</v>
      </c>
      <c r="F5655" s="5">
        <v>0.64100000000000001</v>
      </c>
    </row>
    <row r="5656" spans="2:6" x14ac:dyDescent="0.2">
      <c r="B5656" s="9" t="s">
        <v>74</v>
      </c>
      <c r="C5656" s="15" t="s">
        <v>75</v>
      </c>
      <c r="D5656" s="12" t="str">
        <f>"1415-5273"</f>
        <v>1415-5273</v>
      </c>
      <c r="E5656" s="5">
        <v>0.624</v>
      </c>
      <c r="F5656" s="5">
        <v>0.10199999999999999</v>
      </c>
    </row>
    <row r="5657" spans="2:6" ht="25.5" x14ac:dyDescent="0.2">
      <c r="B5657" s="9" t="s">
        <v>76</v>
      </c>
      <c r="C5657" s="15" t="s">
        <v>77</v>
      </c>
      <c r="D5657" s="12" t="str">
        <f>"1020-4989"</f>
        <v>1020-4989</v>
      </c>
      <c r="E5657" s="5">
        <v>1.4650000000000001</v>
      </c>
      <c r="F5657" s="5">
        <v>0.188</v>
      </c>
    </row>
    <row r="5658" spans="2:6" x14ac:dyDescent="0.2">
      <c r="B5658" s="9" t="s">
        <v>6615</v>
      </c>
      <c r="C5658" s="15" t="s">
        <v>11773</v>
      </c>
      <c r="D5658" s="12" t="str">
        <f>"0303-4240"</f>
        <v>0303-4240</v>
      </c>
      <c r="E5658" s="5">
        <v>5.5449999999999999</v>
      </c>
      <c r="F5658" s="5">
        <v>0.88900000000000001</v>
      </c>
    </row>
    <row r="5659" spans="2:6" x14ac:dyDescent="0.2">
      <c r="B5659" s="9" t="s">
        <v>11774</v>
      </c>
      <c r="C5659" s="15" t="s">
        <v>11775</v>
      </c>
      <c r="D5659" s="12" t="str">
        <f>"0870-2551"</f>
        <v>0870-2551</v>
      </c>
      <c r="E5659" s="5">
        <v>1.3740000000000001</v>
      </c>
      <c r="F5659" s="5">
        <v>0.05</v>
      </c>
    </row>
    <row r="5660" spans="2:6" x14ac:dyDescent="0.2">
      <c r="B5660" s="9" t="s">
        <v>11776</v>
      </c>
      <c r="C5660" s="15" t="s">
        <v>11777</v>
      </c>
      <c r="D5660" s="12" t="str">
        <f>"1136-1034"</f>
        <v>1136-1034</v>
      </c>
      <c r="E5660" s="5">
        <v>3.2250000000000001</v>
      </c>
      <c r="F5660" s="5">
        <v>0.75</v>
      </c>
    </row>
    <row r="5661" spans="2:6" x14ac:dyDescent="0.2">
      <c r="B5661" s="9" t="s">
        <v>11778</v>
      </c>
      <c r="C5661" s="15" t="s">
        <v>11779</v>
      </c>
      <c r="D5661" s="12" t="str">
        <f>"1132-239X"</f>
        <v>1132-239X</v>
      </c>
      <c r="E5661" s="5">
        <v>1.1719999999999999</v>
      </c>
      <c r="F5661" s="5">
        <v>8.4000000000000005E-2</v>
      </c>
    </row>
    <row r="5662" spans="2:6" x14ac:dyDescent="0.2">
      <c r="B5662" s="9" t="s">
        <v>11780</v>
      </c>
      <c r="C5662" s="15" t="s">
        <v>11781</v>
      </c>
      <c r="D5662" s="12" t="str">
        <f>"0213-4748"</f>
        <v>0213-4748</v>
      </c>
      <c r="E5662" s="5">
        <v>0.61699999999999999</v>
      </c>
      <c r="F5662" s="5">
        <v>4.7E-2</v>
      </c>
    </row>
    <row r="5663" spans="2:6" x14ac:dyDescent="0.2">
      <c r="B5663" s="9" t="s">
        <v>11782</v>
      </c>
      <c r="C5663" s="15" t="s">
        <v>11783</v>
      </c>
      <c r="D5663" s="12" t="str">
        <f>"1888-9891"</f>
        <v>1888-9891</v>
      </c>
      <c r="E5663" s="5">
        <v>3.3180000000000001</v>
      </c>
      <c r="F5663" s="5">
        <v>0.58799999999999997</v>
      </c>
    </row>
    <row r="5664" spans="2:6" x14ac:dyDescent="0.2">
      <c r="B5664" s="9" t="s">
        <v>11784</v>
      </c>
      <c r="C5664" s="15" t="s">
        <v>11785</v>
      </c>
      <c r="D5664" s="12" t="str">
        <f>"2284-5623"</f>
        <v>2284-5623</v>
      </c>
      <c r="E5664" s="5">
        <v>1.0269999999999999</v>
      </c>
      <c r="F5664" s="5">
        <v>7.9000000000000001E-2</v>
      </c>
    </row>
    <row r="5665" spans="2:6" x14ac:dyDescent="0.2">
      <c r="B5665" s="9" t="s">
        <v>6616</v>
      </c>
      <c r="C5665" s="15" t="s">
        <v>2735</v>
      </c>
      <c r="D5665" s="12" t="str">
        <f>"0035-3930"</f>
        <v>0035-3930</v>
      </c>
      <c r="E5665" s="5">
        <v>0.27800000000000002</v>
      </c>
      <c r="F5665" s="5">
        <v>6.0000000000000001E-3</v>
      </c>
    </row>
    <row r="5666" spans="2:6" x14ac:dyDescent="0.2">
      <c r="B5666" s="9" t="s">
        <v>78</v>
      </c>
      <c r="C5666" s="15" t="s">
        <v>79</v>
      </c>
      <c r="D5666" s="12" t="str">
        <f>"0034-8910"</f>
        <v>0034-8910</v>
      </c>
      <c r="E5666" s="5">
        <v>2.1059999999999999</v>
      </c>
      <c r="F5666" s="5">
        <v>0.372</v>
      </c>
    </row>
    <row r="5667" spans="2:6" x14ac:dyDescent="0.2">
      <c r="B5667" s="9" t="s">
        <v>6617</v>
      </c>
      <c r="C5667" s="15" t="s">
        <v>2736</v>
      </c>
      <c r="D5667" s="12" t="str">
        <f>"0253-1933"</f>
        <v>0253-1933</v>
      </c>
      <c r="E5667" s="5">
        <v>1.181</v>
      </c>
      <c r="F5667" s="5">
        <v>0.39</v>
      </c>
    </row>
    <row r="5668" spans="2:6" x14ac:dyDescent="0.2">
      <c r="B5668" s="9" t="s">
        <v>80</v>
      </c>
      <c r="C5668" s="15" t="s">
        <v>81</v>
      </c>
      <c r="D5668" s="12" t="str">
        <f>"0037-8682"</f>
        <v>0037-8682</v>
      </c>
      <c r="E5668" s="5">
        <v>1.581</v>
      </c>
      <c r="F5668" s="5">
        <v>0.39100000000000001</v>
      </c>
    </row>
    <row r="5669" spans="2:6" x14ac:dyDescent="0.2">
      <c r="B5669" s="9" t="s">
        <v>11786</v>
      </c>
      <c r="C5669" s="15" t="s">
        <v>11787</v>
      </c>
      <c r="D5669" s="12" t="str">
        <f>"1645-6726"</f>
        <v>1645-6726</v>
      </c>
      <c r="E5669" s="5">
        <v>1.25</v>
      </c>
      <c r="F5669" s="5">
        <v>0.39200000000000002</v>
      </c>
    </row>
    <row r="5670" spans="2:6" x14ac:dyDescent="0.2">
      <c r="B5670" s="9" t="s">
        <v>6619</v>
      </c>
      <c r="C5670" s="15" t="s">
        <v>2738</v>
      </c>
      <c r="D5670" s="12" t="str">
        <f>"0172-8172"</f>
        <v>0172-8172</v>
      </c>
      <c r="E5670" s="5">
        <v>2.6309999999999998</v>
      </c>
      <c r="F5670" s="5">
        <v>0.23499999999999999</v>
      </c>
    </row>
    <row r="5671" spans="2:6" x14ac:dyDescent="0.2">
      <c r="B5671" s="9" t="s">
        <v>5705</v>
      </c>
      <c r="C5671" s="15" t="s">
        <v>5705</v>
      </c>
      <c r="D5671" s="12" t="str">
        <f>"1462-0324"</f>
        <v>1462-0324</v>
      </c>
      <c r="E5671" s="5">
        <v>7.58</v>
      </c>
      <c r="F5671" s="5">
        <v>0.88200000000000001</v>
      </c>
    </row>
    <row r="5672" spans="2:6" x14ac:dyDescent="0.2">
      <c r="B5672" s="9" t="s">
        <v>11788</v>
      </c>
      <c r="C5672" s="15" t="s">
        <v>11789</v>
      </c>
      <c r="D5672" s="12" t="str">
        <f>"2198-6576"</f>
        <v>2198-6576</v>
      </c>
      <c r="E5672" s="5">
        <v>3.4940000000000002</v>
      </c>
      <c r="F5672" s="5">
        <v>0.41199999999999998</v>
      </c>
    </row>
    <row r="5673" spans="2:6" x14ac:dyDescent="0.2">
      <c r="B5673" s="9" t="s">
        <v>6618</v>
      </c>
      <c r="C5673" s="15" t="s">
        <v>2737</v>
      </c>
      <c r="D5673" s="12" t="str">
        <f>"0889-857X"</f>
        <v>0889-857X</v>
      </c>
      <c r="E5673" s="5">
        <v>2.67</v>
      </c>
      <c r="F5673" s="5">
        <v>0.26500000000000001</v>
      </c>
    </row>
    <row r="5674" spans="2:6" x14ac:dyDescent="0.2">
      <c r="B5674" s="9" t="s">
        <v>6620</v>
      </c>
      <c r="C5674" s="15" t="s">
        <v>6620</v>
      </c>
      <c r="D5674" s="12" t="str">
        <f>"0300-0729"</f>
        <v>0300-0729</v>
      </c>
      <c r="E5674" s="5">
        <v>3.681</v>
      </c>
      <c r="F5674" s="5">
        <v>0.95499999999999996</v>
      </c>
    </row>
    <row r="5675" spans="2:6" x14ac:dyDescent="0.2">
      <c r="B5675" s="9" t="s">
        <v>11790</v>
      </c>
      <c r="C5675" s="15" t="s">
        <v>11791</v>
      </c>
      <c r="D5675" s="12" t="str">
        <f>"0272-4332"</f>
        <v>0272-4332</v>
      </c>
      <c r="E5675" s="5">
        <v>4</v>
      </c>
      <c r="F5675" s="5">
        <v>0.87</v>
      </c>
    </row>
    <row r="5676" spans="2:6" x14ac:dyDescent="0.2">
      <c r="B5676" s="9" t="s">
        <v>11792</v>
      </c>
      <c r="C5676" s="15" t="s">
        <v>11793</v>
      </c>
      <c r="D5676" s="12" t="str">
        <f>"1179-1594"</f>
        <v>1179-1594</v>
      </c>
      <c r="E5676" s="5">
        <v>3.2</v>
      </c>
      <c r="F5676" s="5">
        <v>0.72699999999999998</v>
      </c>
    </row>
    <row r="5677" spans="2:6" x14ac:dyDescent="0.2">
      <c r="B5677" s="9" t="s">
        <v>11794</v>
      </c>
      <c r="C5677" s="15" t="s">
        <v>11795</v>
      </c>
      <c r="D5677" s="12" t="str">
        <f>"1460-3799"</f>
        <v>1460-3799</v>
      </c>
      <c r="E5677" s="5">
        <v>2.2309999999999999</v>
      </c>
      <c r="F5677" s="5">
        <v>0.61499999999999999</v>
      </c>
    </row>
    <row r="5678" spans="2:6" x14ac:dyDescent="0.2">
      <c r="B5678" s="9" t="s">
        <v>82</v>
      </c>
      <c r="C5678" s="15" t="s">
        <v>83</v>
      </c>
      <c r="D5678" s="12" t="str">
        <f>"0035-6484"</f>
        <v>0035-6484</v>
      </c>
      <c r="E5678" s="5">
        <v>1.911</v>
      </c>
      <c r="F5678" s="5">
        <v>0.26400000000000001</v>
      </c>
    </row>
    <row r="5679" spans="2:6" x14ac:dyDescent="0.2">
      <c r="B5679" s="9" t="s">
        <v>11796</v>
      </c>
      <c r="C5679" s="15" t="s">
        <v>11797</v>
      </c>
      <c r="D5679" s="12" t="str">
        <f>"2073-4859"</f>
        <v>2073-4859</v>
      </c>
      <c r="E5679" s="5">
        <v>3.984</v>
      </c>
      <c r="F5679" s="5">
        <v>0.91200000000000003</v>
      </c>
    </row>
    <row r="5680" spans="2:6" x14ac:dyDescent="0.2">
      <c r="B5680" s="9" t="s">
        <v>11798</v>
      </c>
      <c r="C5680" s="15" t="s">
        <v>11798</v>
      </c>
      <c r="D5680" s="12" t="str">
        <f>"2056-5933"</f>
        <v>2056-5933</v>
      </c>
      <c r="E5680" s="5">
        <v>5.117</v>
      </c>
      <c r="F5680" s="5">
        <v>0.73499999999999999</v>
      </c>
    </row>
    <row r="5681" spans="2:6" x14ac:dyDescent="0.2">
      <c r="B5681" s="9" t="s">
        <v>6621</v>
      </c>
      <c r="C5681" s="15" t="s">
        <v>6621</v>
      </c>
      <c r="D5681" s="12" t="str">
        <f>"1355-8382"</f>
        <v>1355-8382</v>
      </c>
      <c r="E5681" s="5">
        <v>4.9420000000000002</v>
      </c>
      <c r="F5681" s="5">
        <v>0.68899999999999995</v>
      </c>
    </row>
    <row r="5682" spans="2:6" x14ac:dyDescent="0.2">
      <c r="B5682" s="9" t="s">
        <v>84</v>
      </c>
      <c r="C5682" s="15" t="s">
        <v>85</v>
      </c>
      <c r="D5682" s="12" t="str">
        <f>"1555-8584"</f>
        <v>1555-8584</v>
      </c>
      <c r="E5682" s="5">
        <v>4.6520000000000001</v>
      </c>
      <c r="F5682" s="5">
        <v>0.64500000000000002</v>
      </c>
    </row>
    <row r="5683" spans="2:6" x14ac:dyDescent="0.2">
      <c r="B5683" s="9" t="s">
        <v>86</v>
      </c>
      <c r="C5683" s="15" t="s">
        <v>87</v>
      </c>
      <c r="D5683" s="12" t="str">
        <f>"0736-5845"</f>
        <v>0736-5845</v>
      </c>
      <c r="E5683" s="5">
        <v>5.6660000000000004</v>
      </c>
      <c r="F5683" s="5">
        <v>0.92900000000000005</v>
      </c>
    </row>
    <row r="5684" spans="2:6" ht="25.5" x14ac:dyDescent="0.2">
      <c r="B5684" s="9" t="s">
        <v>6622</v>
      </c>
      <c r="C5684" s="15" t="s">
        <v>11799</v>
      </c>
      <c r="D5684" s="12" t="str">
        <f>"1438-9029"</f>
        <v>1438-9029</v>
      </c>
      <c r="E5684" s="5">
        <v>2.452</v>
      </c>
      <c r="F5684" s="5">
        <v>0.39100000000000001</v>
      </c>
    </row>
    <row r="5685" spans="2:6" x14ac:dyDescent="0.2">
      <c r="B5685" s="9" t="s">
        <v>88</v>
      </c>
      <c r="C5685" s="15" t="s">
        <v>89</v>
      </c>
      <c r="D5685" s="12" t="str">
        <f>"1221-8618"</f>
        <v>1221-8618</v>
      </c>
      <c r="E5685" s="5">
        <v>0.36299999999999999</v>
      </c>
      <c r="F5685" s="5">
        <v>5.8999999999999997E-2</v>
      </c>
    </row>
    <row r="5686" spans="2:6" x14ac:dyDescent="0.2">
      <c r="B5686" s="9" t="s">
        <v>11800</v>
      </c>
      <c r="C5686" s="15" t="s">
        <v>11801</v>
      </c>
      <c r="D5686" s="12" t="str">
        <f>"1220-0522"</f>
        <v>1220-0522</v>
      </c>
      <c r="E5686" s="5">
        <v>1.0329999999999999</v>
      </c>
      <c r="F5686" s="5">
        <v>7.2999999999999995E-2</v>
      </c>
    </row>
    <row r="5687" spans="2:6" x14ac:dyDescent="0.2">
      <c r="B5687" s="9" t="s">
        <v>11802</v>
      </c>
      <c r="C5687" s="15" t="s">
        <v>11803</v>
      </c>
      <c r="D5687" s="12" t="str">
        <f>"2054-5703"</f>
        <v>2054-5703</v>
      </c>
      <c r="E5687" s="5">
        <v>2.9630000000000001</v>
      </c>
      <c r="F5687" s="5">
        <v>0.625</v>
      </c>
    </row>
    <row r="5688" spans="2:6" x14ac:dyDescent="0.2">
      <c r="B5688" s="9" t="s">
        <v>11804</v>
      </c>
      <c r="C5688" s="15" t="s">
        <v>11805</v>
      </c>
      <c r="D5688" s="12" t="str">
        <f>"2046-2069"</f>
        <v>2046-2069</v>
      </c>
      <c r="E5688" s="5">
        <v>3.3610000000000002</v>
      </c>
      <c r="F5688" s="5">
        <v>0.55100000000000005</v>
      </c>
    </row>
    <row r="5689" spans="2:6" x14ac:dyDescent="0.2">
      <c r="B5689" s="9" t="s">
        <v>11806</v>
      </c>
      <c r="C5689" s="15" t="s">
        <v>11807</v>
      </c>
      <c r="D5689" s="12" t="str">
        <f>"2377-8253"</f>
        <v>2377-8253</v>
      </c>
      <c r="E5689" s="5">
        <v>2.2450000000000001</v>
      </c>
      <c r="F5689" s="5">
        <v>0.624</v>
      </c>
    </row>
    <row r="5690" spans="2:6" x14ac:dyDescent="0.2">
      <c r="B5690" s="9" t="s">
        <v>11808</v>
      </c>
      <c r="C5690" s="15" t="s">
        <v>11809</v>
      </c>
      <c r="D5690" s="12" t="str">
        <f>"1445-6354"</f>
        <v>1445-6354</v>
      </c>
      <c r="E5690" s="5">
        <v>1.7589999999999999</v>
      </c>
      <c r="F5690" s="5">
        <v>0.27</v>
      </c>
    </row>
    <row r="5691" spans="2:6" x14ac:dyDescent="0.2">
      <c r="B5691" s="9" t="s">
        <v>6623</v>
      </c>
      <c r="C5691" s="15" t="s">
        <v>2739</v>
      </c>
      <c r="D5691" s="12" t="str">
        <f>"1066-5285"</f>
        <v>1066-5285</v>
      </c>
      <c r="E5691" s="5">
        <v>1.222</v>
      </c>
      <c r="F5691" s="5">
        <v>0.20200000000000001</v>
      </c>
    </row>
    <row r="5692" spans="2:6" x14ac:dyDescent="0.2">
      <c r="B5692" s="9" t="s">
        <v>90</v>
      </c>
      <c r="C5692" s="15" t="s">
        <v>91</v>
      </c>
      <c r="D5692" s="12" t="str">
        <f>"0036-021X"</f>
        <v>0036-021X</v>
      </c>
      <c r="E5692" s="5">
        <v>6.9260000000000002</v>
      </c>
      <c r="F5692" s="5">
        <v>0.80300000000000005</v>
      </c>
    </row>
    <row r="5693" spans="2:6" x14ac:dyDescent="0.2">
      <c r="B5693" s="9" t="s">
        <v>6624</v>
      </c>
      <c r="C5693" s="15" t="s">
        <v>2740</v>
      </c>
      <c r="D5693" s="12" t="str">
        <f>"1068-1620"</f>
        <v>1068-1620</v>
      </c>
      <c r="E5693" s="5">
        <v>0.79600000000000004</v>
      </c>
      <c r="F5693" s="5">
        <v>8.7999999999999995E-2</v>
      </c>
    </row>
    <row r="5694" spans="2:6" x14ac:dyDescent="0.2">
      <c r="B5694" s="9" t="s">
        <v>11810</v>
      </c>
      <c r="C5694" s="15" t="s">
        <v>11811</v>
      </c>
      <c r="D5694" s="12" t="str">
        <f>"1062-3604"</f>
        <v>1062-3604</v>
      </c>
      <c r="E5694" s="5">
        <v>0.71799999999999997</v>
      </c>
      <c r="F5694" s="5">
        <v>2.4E-2</v>
      </c>
    </row>
    <row r="5695" spans="2:6" x14ac:dyDescent="0.2">
      <c r="B5695" s="9" t="s">
        <v>6625</v>
      </c>
      <c r="C5695" s="15" t="s">
        <v>2741</v>
      </c>
      <c r="D5695" s="12" t="str">
        <f>"1070-3632"</f>
        <v>1070-3632</v>
      </c>
      <c r="E5695" s="5">
        <v>0.86799999999999999</v>
      </c>
      <c r="F5695" s="5">
        <v>0.11799999999999999</v>
      </c>
    </row>
    <row r="5696" spans="2:6" x14ac:dyDescent="0.2">
      <c r="B5696" s="9" t="s">
        <v>6626</v>
      </c>
      <c r="C5696" s="15" t="s">
        <v>2742</v>
      </c>
      <c r="D5696" s="12" t="str">
        <f>"1022-7954"</f>
        <v>1022-7954</v>
      </c>
      <c r="E5696" s="5">
        <v>0.58099999999999996</v>
      </c>
      <c r="F5696" s="5">
        <v>3.4000000000000002E-2</v>
      </c>
    </row>
    <row r="5697" spans="2:6" x14ac:dyDescent="0.2">
      <c r="B5697" s="9" t="s">
        <v>6627</v>
      </c>
      <c r="C5697" s="15" t="s">
        <v>2743</v>
      </c>
      <c r="D5697" s="12" t="str">
        <f>"1070-4280"</f>
        <v>1070-4280</v>
      </c>
      <c r="E5697" s="5">
        <v>0.72299999999999998</v>
      </c>
      <c r="F5697" s="5">
        <v>7.0000000000000007E-2</v>
      </c>
    </row>
    <row r="5698" spans="2:6" x14ac:dyDescent="0.2">
      <c r="B5698" s="9" t="s">
        <v>11812</v>
      </c>
      <c r="C5698" s="15" t="s">
        <v>11813</v>
      </c>
      <c r="D5698" s="12" t="str">
        <f>"2093-7911"</f>
        <v>2093-7911</v>
      </c>
      <c r="E5698" s="5">
        <v>2.7069999999999999</v>
      </c>
      <c r="F5698" s="5">
        <v>0.56699999999999995</v>
      </c>
    </row>
    <row r="5699" spans="2:6" ht="25.5" x14ac:dyDescent="0.2">
      <c r="B5699" s="9" t="s">
        <v>6628</v>
      </c>
      <c r="C5699" s="15" t="s">
        <v>2744</v>
      </c>
      <c r="D5699" s="12" t="str">
        <f>"0379-4350"</f>
        <v>0379-4350</v>
      </c>
      <c r="E5699" s="5">
        <v>1.119</v>
      </c>
      <c r="F5699" s="5">
        <v>0.18</v>
      </c>
    </row>
    <row r="5700" spans="2:6" x14ac:dyDescent="0.2">
      <c r="B5700" s="9" t="s">
        <v>92</v>
      </c>
      <c r="C5700" s="15" t="s">
        <v>93</v>
      </c>
      <c r="D5700" s="12" t="str">
        <f>"2078-6751"</f>
        <v>2078-6751</v>
      </c>
      <c r="E5700" s="5">
        <v>2.7440000000000002</v>
      </c>
      <c r="F5700" s="5">
        <v>0.36099999999999999</v>
      </c>
    </row>
    <row r="5701" spans="2:6" x14ac:dyDescent="0.2">
      <c r="B5701" s="9" t="s">
        <v>94</v>
      </c>
      <c r="C5701" s="15" t="s">
        <v>95</v>
      </c>
      <c r="D5701" s="12" t="str">
        <f>"0081-2463"</f>
        <v>0081-2463</v>
      </c>
      <c r="E5701" s="5">
        <v>1.44</v>
      </c>
      <c r="F5701" s="5">
        <v>0.29499999999999998</v>
      </c>
    </row>
    <row r="5702" spans="2:6" ht="25.5" x14ac:dyDescent="0.2">
      <c r="B5702" s="9" t="s">
        <v>11814</v>
      </c>
      <c r="C5702" s="15" t="s">
        <v>11815</v>
      </c>
      <c r="D5702" s="12" t="str">
        <f>"0379-9069"</f>
        <v>0379-9069</v>
      </c>
      <c r="E5702" s="5">
        <v>0.42199999999999999</v>
      </c>
      <c r="F5702" s="5">
        <v>0.10100000000000001</v>
      </c>
    </row>
    <row r="5703" spans="2:6" x14ac:dyDescent="0.2">
      <c r="B5703" s="9" t="s">
        <v>6629</v>
      </c>
      <c r="C5703" s="15" t="s">
        <v>2745</v>
      </c>
      <c r="D5703" s="12" t="str">
        <f>"0038-2353"</f>
        <v>0038-2353</v>
      </c>
      <c r="E5703" s="5">
        <v>2.1970000000000001</v>
      </c>
      <c r="F5703" s="5">
        <v>0.47199999999999998</v>
      </c>
    </row>
    <row r="5704" spans="2:6" x14ac:dyDescent="0.2">
      <c r="B5704" s="9" t="s">
        <v>6630</v>
      </c>
      <c r="C5704" s="15" t="s">
        <v>2746</v>
      </c>
      <c r="D5704" s="12" t="str">
        <f>"0038-2361"</f>
        <v>0038-2361</v>
      </c>
      <c r="E5704" s="5">
        <v>0.375</v>
      </c>
      <c r="F5704" s="5">
        <v>2.4E-2</v>
      </c>
    </row>
    <row r="5705" spans="2:6" x14ac:dyDescent="0.2">
      <c r="B5705" s="9" t="s">
        <v>11816</v>
      </c>
      <c r="C5705" s="15" t="s">
        <v>11817</v>
      </c>
      <c r="D5705" s="12" t="str">
        <f>"2158-2440"</f>
        <v>2158-2440</v>
      </c>
      <c r="E5705" s="5">
        <v>1.3560000000000001</v>
      </c>
      <c r="F5705" s="5">
        <v>0.34899999999999998</v>
      </c>
    </row>
    <row r="5706" spans="2:6" x14ac:dyDescent="0.2">
      <c r="B5706" s="9" t="s">
        <v>11818</v>
      </c>
      <c r="C5706" s="15" t="s">
        <v>11819</v>
      </c>
      <c r="D5706" s="12" t="str">
        <f>"1729-0376"</f>
        <v>1729-0376</v>
      </c>
      <c r="E5706" s="5">
        <v>1.8149999999999999</v>
      </c>
      <c r="F5706" s="5">
        <v>0.28299999999999997</v>
      </c>
    </row>
    <row r="5707" spans="2:6" x14ac:dyDescent="0.2">
      <c r="B5707" s="9" t="s">
        <v>11820</v>
      </c>
      <c r="C5707" s="15" t="s">
        <v>11821</v>
      </c>
      <c r="D5707" s="12" t="str">
        <f>"0126-6039"</f>
        <v>0126-6039</v>
      </c>
      <c r="E5707" s="5">
        <v>1.0089999999999999</v>
      </c>
      <c r="F5707" s="5">
        <v>0.23599999999999999</v>
      </c>
    </row>
    <row r="5708" spans="2:6" x14ac:dyDescent="0.2">
      <c r="B5708" s="9" t="s">
        <v>96</v>
      </c>
      <c r="C5708" s="15" t="s">
        <v>97</v>
      </c>
      <c r="D5708" s="12" t="str">
        <f>"1608-9685"</f>
        <v>1608-9685</v>
      </c>
      <c r="E5708" s="5">
        <v>1.55</v>
      </c>
      <c r="F5708" s="5">
        <v>0.19900000000000001</v>
      </c>
    </row>
    <row r="5709" spans="2:6" x14ac:dyDescent="0.2">
      <c r="B5709" s="9" t="s">
        <v>11822</v>
      </c>
      <c r="C5709" s="15" t="s">
        <v>11823</v>
      </c>
      <c r="D5709" s="12" t="str">
        <f>"1851-8265"</f>
        <v>1851-8265</v>
      </c>
      <c r="E5709" s="5">
        <v>0.59699999999999998</v>
      </c>
      <c r="F5709" s="5">
        <v>3.1E-2</v>
      </c>
    </row>
    <row r="5710" spans="2:6" x14ac:dyDescent="0.2">
      <c r="B5710" s="9" t="s">
        <v>98</v>
      </c>
      <c r="C5710" s="15" t="s">
        <v>99</v>
      </c>
      <c r="D5710" s="12" t="str">
        <f>"0185-3325"</f>
        <v>0185-3325</v>
      </c>
      <c r="E5710" s="5">
        <v>0.76200000000000001</v>
      </c>
      <c r="F5710" s="5">
        <v>6.9000000000000006E-2</v>
      </c>
    </row>
    <row r="5711" spans="2:6" x14ac:dyDescent="0.2">
      <c r="B5711" s="9" t="s">
        <v>100</v>
      </c>
      <c r="C5711" s="15" t="s">
        <v>101</v>
      </c>
      <c r="D5711" s="12" t="str">
        <f>"0036-3634"</f>
        <v>0036-3634</v>
      </c>
      <c r="E5711" s="5">
        <v>2.028</v>
      </c>
      <c r="F5711" s="5">
        <v>0.36499999999999999</v>
      </c>
    </row>
    <row r="5712" spans="2:6" x14ac:dyDescent="0.2">
      <c r="B5712" s="9" t="s">
        <v>6631</v>
      </c>
      <c r="C5712" s="15" t="s">
        <v>2747</v>
      </c>
      <c r="D5712" s="12" t="str">
        <f>"0256-9574"</f>
        <v>0256-9574</v>
      </c>
      <c r="E5712" s="5">
        <v>1.6140000000000001</v>
      </c>
      <c r="F5712" s="5">
        <v>0.35899999999999999</v>
      </c>
    </row>
    <row r="5713" spans="2:6" x14ac:dyDescent="0.2">
      <c r="B5713" s="9" t="s">
        <v>11824</v>
      </c>
      <c r="C5713" s="15" t="s">
        <v>11825</v>
      </c>
      <c r="D5713" s="12" t="str">
        <f>"0995-3914"</f>
        <v>0995-3914</v>
      </c>
      <c r="E5713" s="5">
        <v>0.20300000000000001</v>
      </c>
      <c r="F5713" s="5">
        <v>3.0000000000000001E-3</v>
      </c>
    </row>
    <row r="5714" spans="2:6" x14ac:dyDescent="0.2">
      <c r="B5714" s="9" t="s">
        <v>102</v>
      </c>
      <c r="C5714" s="15" t="s">
        <v>103</v>
      </c>
      <c r="D5714" s="12" t="str">
        <f>"1516-3180"</f>
        <v>1516-3180</v>
      </c>
      <c r="E5714" s="5">
        <v>1.044</v>
      </c>
      <c r="F5714" s="5">
        <v>0.20399999999999999</v>
      </c>
    </row>
    <row r="5715" spans="2:6" x14ac:dyDescent="0.2">
      <c r="B5715" s="9" t="s">
        <v>6633</v>
      </c>
      <c r="C5715" s="15" t="s">
        <v>2749</v>
      </c>
      <c r="D5715" s="12" t="str">
        <f>"1124-0490"</f>
        <v>1124-0490</v>
      </c>
      <c r="E5715" s="5">
        <v>0.67</v>
      </c>
      <c r="F5715" s="5">
        <v>3.1E-2</v>
      </c>
    </row>
    <row r="5716" spans="2:6" x14ac:dyDescent="0.2">
      <c r="B5716" s="9" t="s">
        <v>6632</v>
      </c>
      <c r="C5716" s="15" t="s">
        <v>2748</v>
      </c>
      <c r="D5716" s="12" t="str">
        <f>"1062-936X"</f>
        <v>1062-936X</v>
      </c>
      <c r="E5716" s="5">
        <v>3</v>
      </c>
      <c r="F5716" s="5">
        <v>0.70699999999999996</v>
      </c>
    </row>
    <row r="5717" spans="2:6" x14ac:dyDescent="0.2">
      <c r="B5717" s="9" t="s">
        <v>11826</v>
      </c>
      <c r="C5717" s="15" t="s">
        <v>11827</v>
      </c>
      <c r="D5717" s="12" t="str">
        <f>"0104-1290"</f>
        <v>0104-1290</v>
      </c>
      <c r="E5717" s="5">
        <v>0.34899999999999998</v>
      </c>
      <c r="F5717" s="5">
        <v>1.4E-2</v>
      </c>
    </row>
    <row r="5718" spans="2:6" x14ac:dyDescent="0.2">
      <c r="B5718" s="9" t="s">
        <v>11828</v>
      </c>
      <c r="C5718" s="15" t="s">
        <v>11829</v>
      </c>
      <c r="D5718" s="12" t="str">
        <f>"1319-562X"</f>
        <v>1319-562X</v>
      </c>
      <c r="E5718" s="5">
        <v>4.2190000000000003</v>
      </c>
      <c r="F5718" s="5">
        <v>0.753</v>
      </c>
    </row>
    <row r="5719" spans="2:6" x14ac:dyDescent="0.2">
      <c r="B5719" s="9" t="s">
        <v>11830</v>
      </c>
      <c r="C5719" s="15" t="s">
        <v>11831</v>
      </c>
      <c r="D5719" s="12" t="str">
        <f>"1319-3767"</f>
        <v>1319-3767</v>
      </c>
      <c r="E5719" s="5">
        <v>2.4849999999999999</v>
      </c>
      <c r="F5719" s="5">
        <v>0.185</v>
      </c>
    </row>
    <row r="5720" spans="2:6" x14ac:dyDescent="0.2">
      <c r="B5720" s="9" t="s">
        <v>6634</v>
      </c>
      <c r="C5720" s="15" t="s">
        <v>2750</v>
      </c>
      <c r="D5720" s="12" t="str">
        <f>"0379-5284"</f>
        <v>0379-5284</v>
      </c>
      <c r="E5720" s="5">
        <v>1.484</v>
      </c>
      <c r="F5720" s="5">
        <v>0.33500000000000002</v>
      </c>
    </row>
    <row r="5721" spans="2:6" x14ac:dyDescent="0.2">
      <c r="B5721" s="9" t="s">
        <v>11832</v>
      </c>
      <c r="C5721" s="15" t="s">
        <v>11833</v>
      </c>
      <c r="D5721" s="12" t="str">
        <f>"1319-0164"</f>
        <v>1319-0164</v>
      </c>
      <c r="E5721" s="5">
        <v>4.33</v>
      </c>
      <c r="F5721" s="5">
        <v>0.66900000000000004</v>
      </c>
    </row>
    <row r="5722" spans="2:6" x14ac:dyDescent="0.2">
      <c r="B5722" s="9" t="s">
        <v>11834</v>
      </c>
      <c r="C5722" s="15" t="s">
        <v>11835</v>
      </c>
      <c r="D5722" s="12" t="str">
        <f>"0346-1238"</f>
        <v>0346-1238</v>
      </c>
      <c r="E5722" s="5">
        <v>1.7410000000000001</v>
      </c>
      <c r="F5722" s="5">
        <v>0.57599999999999996</v>
      </c>
    </row>
    <row r="5723" spans="2:6" x14ac:dyDescent="0.2">
      <c r="B5723" s="9" t="s">
        <v>6635</v>
      </c>
      <c r="C5723" s="15" t="s">
        <v>2751</v>
      </c>
      <c r="D5723" s="12" t="str">
        <f>"1401-7431"</f>
        <v>1401-7431</v>
      </c>
      <c r="E5723" s="5">
        <v>1.589</v>
      </c>
      <c r="F5723" s="5">
        <v>0.113</v>
      </c>
    </row>
    <row r="5724" spans="2:6" x14ac:dyDescent="0.2">
      <c r="B5724" s="9" t="s">
        <v>104</v>
      </c>
      <c r="C5724" s="15" t="s">
        <v>105</v>
      </c>
      <c r="D5724" s="12" t="str">
        <f>"0283-9318"</f>
        <v>0283-9318</v>
      </c>
      <c r="E5724" s="5">
        <v>2.34</v>
      </c>
      <c r="F5724" s="5">
        <v>0.73</v>
      </c>
    </row>
    <row r="5725" spans="2:6" x14ac:dyDescent="0.2">
      <c r="B5725" s="9" t="s">
        <v>6636</v>
      </c>
      <c r="C5725" s="15" t="s">
        <v>2752</v>
      </c>
      <c r="D5725" s="12" t="str">
        <f>"0036-5513"</f>
        <v>0036-5513</v>
      </c>
      <c r="E5725" s="5">
        <v>1.7130000000000001</v>
      </c>
      <c r="F5725" s="5">
        <v>0.157</v>
      </c>
    </row>
    <row r="5726" spans="2:6" x14ac:dyDescent="0.2">
      <c r="B5726" s="9" t="s">
        <v>6637</v>
      </c>
      <c r="C5726" s="15" t="s">
        <v>2753</v>
      </c>
      <c r="D5726" s="12" t="str">
        <f>"0036-5521"</f>
        <v>0036-5521</v>
      </c>
      <c r="E5726" s="5">
        <v>2.423</v>
      </c>
      <c r="F5726" s="5">
        <v>0.17399999999999999</v>
      </c>
    </row>
    <row r="5727" spans="2:6" x14ac:dyDescent="0.2">
      <c r="B5727" s="9" t="s">
        <v>6638</v>
      </c>
      <c r="C5727" s="15" t="s">
        <v>2754</v>
      </c>
      <c r="D5727" s="12" t="str">
        <f>"0300-9475"</f>
        <v>0300-9475</v>
      </c>
      <c r="E5727" s="5">
        <v>3.4870000000000001</v>
      </c>
      <c r="F5727" s="5">
        <v>0.37</v>
      </c>
    </row>
    <row r="5728" spans="2:6" x14ac:dyDescent="0.2">
      <c r="B5728" s="9" t="s">
        <v>6639</v>
      </c>
      <c r="C5728" s="15" t="s">
        <v>2755</v>
      </c>
      <c r="D5728" s="12" t="str">
        <f>"0901-3393"</f>
        <v>0901-3393</v>
      </c>
      <c r="E5728" s="5">
        <v>0.36399999999999999</v>
      </c>
      <c r="F5728" s="5">
        <v>8.8999999999999996E-2</v>
      </c>
    </row>
    <row r="5729" spans="2:6" x14ac:dyDescent="0.2">
      <c r="B5729" s="9" t="s">
        <v>6640</v>
      </c>
      <c r="C5729" s="15" t="s">
        <v>2756</v>
      </c>
      <c r="D5729" s="12" t="str">
        <f>"0905-7188"</f>
        <v>0905-7188</v>
      </c>
      <c r="E5729" s="5">
        <v>4.2210000000000001</v>
      </c>
      <c r="F5729" s="5">
        <v>0.80700000000000005</v>
      </c>
    </row>
    <row r="5730" spans="2:6" x14ac:dyDescent="0.2">
      <c r="B5730" s="9" t="s">
        <v>11836</v>
      </c>
      <c r="C5730" s="15" t="s">
        <v>11837</v>
      </c>
      <c r="D5730" s="12" t="str">
        <f>"1103-8128"</f>
        <v>1103-8128</v>
      </c>
      <c r="E5730" s="5">
        <v>2.6110000000000002</v>
      </c>
      <c r="F5730" s="5">
        <v>0.71399999999999997</v>
      </c>
    </row>
    <row r="5731" spans="2:6" x14ac:dyDescent="0.2">
      <c r="B5731" s="9" t="s">
        <v>6641</v>
      </c>
      <c r="C5731" s="15" t="s">
        <v>2757</v>
      </c>
      <c r="D5731" s="12" t="str">
        <f>"1502-7724"</f>
        <v>1502-7724</v>
      </c>
      <c r="E5731" s="5">
        <v>2.581</v>
      </c>
      <c r="F5731" s="5">
        <v>0.61099999999999999</v>
      </c>
    </row>
    <row r="5732" spans="2:6" x14ac:dyDescent="0.2">
      <c r="B5732" s="9" t="s">
        <v>106</v>
      </c>
      <c r="C5732" s="15" t="s">
        <v>107</v>
      </c>
      <c r="D5732" s="12" t="str">
        <f>"0036-5564"</f>
        <v>0036-5564</v>
      </c>
      <c r="E5732" s="5">
        <v>2.343</v>
      </c>
      <c r="F5732" s="5">
        <v>0.55400000000000005</v>
      </c>
    </row>
    <row r="5733" spans="2:6" x14ac:dyDescent="0.2">
      <c r="B5733" s="9" t="s">
        <v>6642</v>
      </c>
      <c r="C5733" s="15" t="s">
        <v>2758</v>
      </c>
      <c r="D5733" s="12" t="str">
        <f>"1403-4948"</f>
        <v>1403-4948</v>
      </c>
      <c r="E5733" s="5">
        <v>3.0209999999999999</v>
      </c>
      <c r="F5733" s="5">
        <v>0.64500000000000002</v>
      </c>
    </row>
    <row r="5734" spans="2:6" x14ac:dyDescent="0.2">
      <c r="B5734" s="9" t="s">
        <v>6643</v>
      </c>
      <c r="C5734" s="15" t="s">
        <v>2759</v>
      </c>
      <c r="D5734" s="12" t="str">
        <f>"0300-9742"</f>
        <v>0300-9742</v>
      </c>
      <c r="E5734" s="5">
        <v>3.641</v>
      </c>
      <c r="F5734" s="5">
        <v>0.47099999999999997</v>
      </c>
    </row>
    <row r="5735" spans="2:6" x14ac:dyDescent="0.2">
      <c r="B5735" s="9" t="s">
        <v>6644</v>
      </c>
      <c r="C5735" s="15" t="s">
        <v>2760</v>
      </c>
      <c r="D5735" s="12" t="str">
        <f>"0303-6898"</f>
        <v>0303-6898</v>
      </c>
      <c r="E5735" s="5">
        <v>1.3959999999999999</v>
      </c>
      <c r="F5735" s="5">
        <v>0.44800000000000001</v>
      </c>
    </row>
    <row r="5736" spans="2:6" x14ac:dyDescent="0.2">
      <c r="B5736" s="9" t="s">
        <v>108</v>
      </c>
      <c r="C5736" s="15" t="s">
        <v>109</v>
      </c>
      <c r="D5736" s="12" t="str">
        <f>"1457-4969"</f>
        <v>1457-4969</v>
      </c>
      <c r="E5736" s="5">
        <v>2.36</v>
      </c>
      <c r="F5736" s="5">
        <v>0.48099999999999998</v>
      </c>
    </row>
    <row r="5737" spans="2:6" x14ac:dyDescent="0.2">
      <c r="B5737" s="9" t="s">
        <v>11838</v>
      </c>
      <c r="C5737" s="15" t="s">
        <v>11839</v>
      </c>
      <c r="D5737" s="12" t="str">
        <f>"1757-7241"</f>
        <v>1757-7241</v>
      </c>
      <c r="E5737" s="5">
        <v>2.9529999999999998</v>
      </c>
      <c r="F5737" s="5">
        <v>0.75</v>
      </c>
    </row>
    <row r="5738" spans="2:6" x14ac:dyDescent="0.2">
      <c r="B5738" s="9" t="s">
        <v>11840</v>
      </c>
      <c r="C5738" s="15" t="s">
        <v>11841</v>
      </c>
      <c r="D5738" s="12" t="str">
        <f>"2168-1805"</f>
        <v>2168-1805</v>
      </c>
      <c r="E5738" s="5">
        <v>1.6120000000000001</v>
      </c>
      <c r="F5738" s="5">
        <v>0.191</v>
      </c>
    </row>
    <row r="5739" spans="2:6" x14ac:dyDescent="0.2">
      <c r="B5739" s="9" t="s">
        <v>6645</v>
      </c>
      <c r="C5739" s="15" t="s">
        <v>2761</v>
      </c>
      <c r="D5739" s="12" t="str">
        <f>"0355-3140"</f>
        <v>0355-3140</v>
      </c>
      <c r="E5739" s="5">
        <v>5.024</v>
      </c>
      <c r="F5739" s="5">
        <v>0.88700000000000001</v>
      </c>
    </row>
    <row r="5740" spans="2:6" x14ac:dyDescent="0.2">
      <c r="B5740" s="9" t="s">
        <v>6646</v>
      </c>
      <c r="C5740" s="15" t="s">
        <v>6646</v>
      </c>
      <c r="D5740" s="12" t="str">
        <f>"0161-0457"</f>
        <v>0161-0457</v>
      </c>
      <c r="E5740" s="5">
        <v>1.9319999999999999</v>
      </c>
      <c r="F5740" s="5">
        <v>0.44400000000000001</v>
      </c>
    </row>
    <row r="5741" spans="2:6" x14ac:dyDescent="0.2">
      <c r="B5741" s="9" t="s">
        <v>6648</v>
      </c>
      <c r="C5741" s="15" t="s">
        <v>2763</v>
      </c>
      <c r="D5741" s="12" t="str">
        <f>"0586-7614"</f>
        <v>0586-7614</v>
      </c>
      <c r="E5741" s="5">
        <v>9.3059999999999992</v>
      </c>
      <c r="F5741" s="5">
        <v>0.95799999999999996</v>
      </c>
    </row>
    <row r="5742" spans="2:6" x14ac:dyDescent="0.2">
      <c r="B5742" s="9" t="s">
        <v>6647</v>
      </c>
      <c r="C5742" s="15" t="s">
        <v>2762</v>
      </c>
      <c r="D5742" s="12" t="str">
        <f>"0920-9964"</f>
        <v>0920-9964</v>
      </c>
      <c r="E5742" s="5">
        <v>4.9390000000000001</v>
      </c>
      <c r="F5742" s="5">
        <v>0.81899999999999995</v>
      </c>
    </row>
    <row r="5743" spans="2:6" x14ac:dyDescent="0.2">
      <c r="B5743" s="9" t="s">
        <v>11842</v>
      </c>
      <c r="C5743" s="15" t="s">
        <v>11843</v>
      </c>
      <c r="D5743" s="12" t="str">
        <f>"1866-2625"</f>
        <v>1866-2625</v>
      </c>
      <c r="E5743" s="5">
        <v>2.9590000000000001</v>
      </c>
      <c r="F5743" s="5">
        <v>0.7</v>
      </c>
    </row>
    <row r="5744" spans="2:6" x14ac:dyDescent="0.2">
      <c r="B5744" s="9" t="s">
        <v>6649</v>
      </c>
      <c r="C5744" s="15" t="s">
        <v>6649</v>
      </c>
      <c r="D5744" s="12" t="str">
        <f>"0932-433X"</f>
        <v>0932-433X</v>
      </c>
      <c r="E5744" s="5">
        <v>1.107</v>
      </c>
      <c r="F5744" s="5">
        <v>0.152</v>
      </c>
    </row>
    <row r="5745" spans="2:6" x14ac:dyDescent="0.2">
      <c r="B5745" s="9" t="s">
        <v>110</v>
      </c>
      <c r="C5745" s="15" t="s">
        <v>111</v>
      </c>
      <c r="D5745" s="12" t="str">
        <f>"0143-0343"</f>
        <v>0143-0343</v>
      </c>
      <c r="E5745" s="5">
        <v>2.0139999999999998</v>
      </c>
      <c r="F5745" s="5">
        <v>0.35</v>
      </c>
    </row>
    <row r="5746" spans="2:6" x14ac:dyDescent="0.2">
      <c r="B5746" s="9" t="s">
        <v>112</v>
      </c>
      <c r="C5746" s="15" t="s">
        <v>113</v>
      </c>
      <c r="D5746" s="12" t="str">
        <f>"1045-3830"</f>
        <v>1045-3830</v>
      </c>
      <c r="E5746" s="5">
        <v>4.3330000000000002</v>
      </c>
      <c r="F5746" s="5">
        <v>0.85</v>
      </c>
    </row>
    <row r="5747" spans="2:6" x14ac:dyDescent="0.2">
      <c r="B5747" s="9" t="s">
        <v>114</v>
      </c>
      <c r="C5747" s="15" t="s">
        <v>115</v>
      </c>
      <c r="D5747" s="12" t="str">
        <f>"2372-966X"</f>
        <v>2372-966X</v>
      </c>
      <c r="E5747" s="5">
        <v>2.722</v>
      </c>
      <c r="F5747" s="5">
        <v>0.6</v>
      </c>
    </row>
    <row r="5748" spans="2:6" x14ac:dyDescent="0.2">
      <c r="B5748" s="9" t="s">
        <v>11844</v>
      </c>
      <c r="C5748" s="15" t="s">
        <v>11845</v>
      </c>
      <c r="D5748" s="12" t="str">
        <f>"2578-4218"</f>
        <v>2578-4218</v>
      </c>
      <c r="E5748" s="5">
        <v>2.379</v>
      </c>
      <c r="F5748" s="5">
        <v>0.45</v>
      </c>
    </row>
    <row r="5749" spans="2:6" x14ac:dyDescent="0.2">
      <c r="B5749" s="9" t="s">
        <v>6650</v>
      </c>
      <c r="C5749" s="15" t="s">
        <v>2764</v>
      </c>
      <c r="D5749" s="12" t="str">
        <f>"0036-7281"</f>
        <v>0036-7281</v>
      </c>
      <c r="E5749" s="5">
        <v>0.84499999999999997</v>
      </c>
      <c r="F5749" s="5">
        <v>0.29499999999999998</v>
      </c>
    </row>
    <row r="5750" spans="2:6" x14ac:dyDescent="0.2">
      <c r="B5750" s="9" t="s">
        <v>11846</v>
      </c>
      <c r="C5750" s="15" t="s">
        <v>11847</v>
      </c>
      <c r="D5750" s="12" t="str">
        <f>"2375-2548"</f>
        <v>2375-2548</v>
      </c>
      <c r="E5750" s="5">
        <v>14.135999999999999</v>
      </c>
      <c r="F5750" s="5">
        <v>0.94399999999999995</v>
      </c>
    </row>
    <row r="5751" spans="2:6" x14ac:dyDescent="0.2">
      <c r="B5751" s="9" t="s">
        <v>6651</v>
      </c>
      <c r="C5751" s="15" t="s">
        <v>2765</v>
      </c>
      <c r="D5751" s="12" t="str">
        <f>"0036-8733"</f>
        <v>0036-8733</v>
      </c>
      <c r="E5751" s="5">
        <v>2.1419999999999999</v>
      </c>
      <c r="F5751" s="5">
        <v>0.45800000000000002</v>
      </c>
    </row>
    <row r="5752" spans="2:6" x14ac:dyDescent="0.2">
      <c r="B5752" s="9" t="s">
        <v>11848</v>
      </c>
      <c r="C5752" s="15" t="s">
        <v>11849</v>
      </c>
      <c r="D5752" s="12" t="str">
        <f>"2095-9273"</f>
        <v>2095-9273</v>
      </c>
      <c r="E5752" s="5">
        <v>11.78</v>
      </c>
      <c r="F5752" s="5">
        <v>0.91700000000000004</v>
      </c>
    </row>
    <row r="5753" spans="2:6" x14ac:dyDescent="0.2">
      <c r="B5753" s="9" t="s">
        <v>11850</v>
      </c>
      <c r="C5753" s="15" t="s">
        <v>11851</v>
      </c>
      <c r="D5753" s="12" t="str">
        <f>"1674-7291"</f>
        <v>1674-7291</v>
      </c>
      <c r="E5753" s="5">
        <v>9.4450000000000003</v>
      </c>
      <c r="F5753" s="5">
        <v>0.871</v>
      </c>
    </row>
    <row r="5754" spans="2:6" x14ac:dyDescent="0.2">
      <c r="B5754" s="9" t="s">
        <v>11852</v>
      </c>
      <c r="C5754" s="15" t="s">
        <v>11853</v>
      </c>
      <c r="D5754" s="12" t="str">
        <f>"1674-7305"</f>
        <v>1674-7305</v>
      </c>
      <c r="E5754" s="5">
        <v>6.0380000000000003</v>
      </c>
      <c r="F5754" s="5">
        <v>0.90300000000000002</v>
      </c>
    </row>
    <row r="5755" spans="2:6" x14ac:dyDescent="0.2">
      <c r="B5755" s="9" t="s">
        <v>6652</v>
      </c>
      <c r="C5755" s="15" t="s">
        <v>2766</v>
      </c>
      <c r="D5755" s="12" t="str">
        <f>"0269-8897"</f>
        <v>0269-8897</v>
      </c>
      <c r="E5755" s="5">
        <v>0.42499999999999999</v>
      </c>
      <c r="F5755" s="5">
        <v>0.16200000000000001</v>
      </c>
    </row>
    <row r="5756" spans="2:6" x14ac:dyDescent="0.2">
      <c r="B5756" s="9" t="s">
        <v>11854</v>
      </c>
      <c r="C5756" s="15" t="s">
        <v>11855</v>
      </c>
      <c r="D5756" s="12" t="str">
        <f>"0950-5431"</f>
        <v>0950-5431</v>
      </c>
      <c r="E5756" s="5">
        <v>2.1669999999999998</v>
      </c>
      <c r="F5756" s="5">
        <v>0.93300000000000005</v>
      </c>
    </row>
    <row r="5757" spans="2:6" x14ac:dyDescent="0.2">
      <c r="B5757" s="9" t="s">
        <v>11856</v>
      </c>
      <c r="C5757" s="15" t="s">
        <v>11857</v>
      </c>
      <c r="D5757" s="12" t="str">
        <f>"2052-4463"</f>
        <v>2052-4463</v>
      </c>
      <c r="E5757" s="5">
        <v>6.444</v>
      </c>
      <c r="F5757" s="5">
        <v>0.86099999999999999</v>
      </c>
    </row>
    <row r="5758" spans="2:6" x14ac:dyDescent="0.2">
      <c r="B5758" s="9" t="s">
        <v>11858</v>
      </c>
      <c r="C5758" s="15" t="s">
        <v>11859</v>
      </c>
      <c r="D5758" s="12" t="str">
        <f>"0926-7220"</f>
        <v>0926-7220</v>
      </c>
      <c r="E5758" s="5">
        <v>2.1139999999999999</v>
      </c>
      <c r="F5758" s="5">
        <v>0.83799999999999997</v>
      </c>
    </row>
    <row r="5759" spans="2:6" x14ac:dyDescent="0.2">
      <c r="B5759" s="9" t="s">
        <v>6656</v>
      </c>
      <c r="C5759" s="15" t="s">
        <v>6656</v>
      </c>
      <c r="D5759" s="12" t="str">
        <f>"0036-8075"</f>
        <v>0036-8075</v>
      </c>
      <c r="E5759" s="5">
        <v>47.728000000000002</v>
      </c>
      <c r="F5759" s="5">
        <v>0.98599999999999999</v>
      </c>
    </row>
    <row r="5760" spans="2:6" x14ac:dyDescent="0.2">
      <c r="B5760" s="9" t="s">
        <v>11860</v>
      </c>
      <c r="C5760" s="15" t="s">
        <v>11860</v>
      </c>
      <c r="D5760" s="12" t="str">
        <f>"1513-1874"</f>
        <v>1513-1874</v>
      </c>
      <c r="E5760" s="5">
        <v>0.61499999999999999</v>
      </c>
      <c r="F5760" s="5">
        <v>0.125</v>
      </c>
    </row>
    <row r="5761" spans="2:6" x14ac:dyDescent="0.2">
      <c r="B5761" s="9" t="s">
        <v>6653</v>
      </c>
      <c r="C5761" s="15" t="s">
        <v>2767</v>
      </c>
      <c r="D5761" s="12" t="str">
        <f>"1353-3452"</f>
        <v>1353-3452</v>
      </c>
      <c r="E5761" s="5">
        <v>3.5249999999999999</v>
      </c>
      <c r="F5761" s="5">
        <v>0.95899999999999996</v>
      </c>
    </row>
    <row r="5762" spans="2:6" x14ac:dyDescent="0.2">
      <c r="B5762" s="9" t="s">
        <v>6657</v>
      </c>
      <c r="C5762" s="15" t="s">
        <v>6657</v>
      </c>
      <c r="D5762" s="12" t="str">
        <f>"0890-3670"</f>
        <v>0890-3670</v>
      </c>
      <c r="E5762" s="5">
        <v>0.85299999999999998</v>
      </c>
      <c r="F5762" s="5">
        <v>0.247</v>
      </c>
    </row>
    <row r="5763" spans="2:6" x14ac:dyDescent="0.2">
      <c r="B5763" s="9" t="s">
        <v>120</v>
      </c>
      <c r="C5763" s="15" t="s">
        <v>120</v>
      </c>
      <c r="D5763" s="12" t="str">
        <f>"0138-9130"</f>
        <v>0138-9130</v>
      </c>
      <c r="E5763" s="5">
        <v>3.238</v>
      </c>
      <c r="F5763" s="5">
        <v>0.63500000000000001</v>
      </c>
    </row>
    <row r="5764" spans="2:6" x14ac:dyDescent="0.2">
      <c r="B5764" s="9" t="s">
        <v>11861</v>
      </c>
      <c r="C5764" s="15" t="s">
        <v>11862</v>
      </c>
      <c r="D5764" s="12" t="str">
        <f>"2470-9468"</f>
        <v>2470-9468</v>
      </c>
      <c r="E5764" s="5">
        <v>17.727</v>
      </c>
      <c r="F5764" s="5">
        <v>0.97499999999999998</v>
      </c>
    </row>
    <row r="5765" spans="2:6" x14ac:dyDescent="0.2">
      <c r="B5765" s="9" t="s">
        <v>6654</v>
      </c>
      <c r="C5765" s="15" t="s">
        <v>2768</v>
      </c>
      <c r="D5765" s="12" t="str">
        <f>"1876-4452"</f>
        <v>1876-4452</v>
      </c>
      <c r="E5765" s="5">
        <v>2.1240000000000001</v>
      </c>
      <c r="F5765" s="5">
        <v>0.70599999999999996</v>
      </c>
    </row>
    <row r="5766" spans="2:6" x14ac:dyDescent="0.2">
      <c r="B5766" s="9" t="s">
        <v>11863</v>
      </c>
      <c r="C5766" s="15" t="s">
        <v>11864</v>
      </c>
      <c r="D5766" s="12" t="str">
        <f>"2473-3938"</f>
        <v>2473-3938</v>
      </c>
      <c r="E5766" s="5">
        <v>2.8149999999999999</v>
      </c>
      <c r="F5766" s="5">
        <v>0.52300000000000002</v>
      </c>
    </row>
    <row r="5767" spans="2:6" x14ac:dyDescent="0.2">
      <c r="B5767" s="9" t="s">
        <v>11865</v>
      </c>
      <c r="C5767" s="15" t="s">
        <v>11866</v>
      </c>
      <c r="D5767" s="12" t="str">
        <f>"0028-1042"</f>
        <v>0028-1042</v>
      </c>
      <c r="E5767" s="5">
        <v>1.954</v>
      </c>
      <c r="F5767" s="5">
        <v>0.43099999999999999</v>
      </c>
    </row>
    <row r="5768" spans="2:6" x14ac:dyDescent="0.2">
      <c r="B5768" s="9" t="s">
        <v>11867</v>
      </c>
      <c r="C5768" s="15" t="s">
        <v>11868</v>
      </c>
      <c r="D5768" s="12" t="str">
        <f>"0036-8504"</f>
        <v>0036-8504</v>
      </c>
      <c r="E5768" s="5">
        <v>2.774</v>
      </c>
      <c r="F5768" s="5">
        <v>0.58299999999999996</v>
      </c>
    </row>
    <row r="5769" spans="2:6" x14ac:dyDescent="0.2">
      <c r="B5769" s="9" t="s">
        <v>11869</v>
      </c>
      <c r="C5769" s="15" t="s">
        <v>11870</v>
      </c>
      <c r="D5769" s="12" t="str">
        <f>"2045-2322"</f>
        <v>2045-2322</v>
      </c>
      <c r="E5769" s="5">
        <v>4.3789999999999996</v>
      </c>
      <c r="F5769" s="5">
        <v>0.77800000000000002</v>
      </c>
    </row>
    <row r="5770" spans="2:6" x14ac:dyDescent="0.2">
      <c r="B5770" s="9" t="s">
        <v>11871</v>
      </c>
      <c r="C5770" s="15" t="s">
        <v>11872</v>
      </c>
      <c r="D5770" s="12" t="str">
        <f>"1945-0877"</f>
        <v>1945-0877</v>
      </c>
      <c r="E5770" s="5">
        <v>8.1920000000000002</v>
      </c>
      <c r="F5770" s="5">
        <v>0.878</v>
      </c>
    </row>
    <row r="5771" spans="2:6" x14ac:dyDescent="0.2">
      <c r="B5771" s="9" t="s">
        <v>116</v>
      </c>
      <c r="C5771" s="15" t="s">
        <v>117</v>
      </c>
      <c r="D5771" s="12" t="str">
        <f>"0036-8237"</f>
        <v>0036-8237</v>
      </c>
      <c r="E5771" s="5">
        <v>0.76600000000000001</v>
      </c>
      <c r="F5771" s="5">
        <v>0.20200000000000001</v>
      </c>
    </row>
    <row r="5772" spans="2:6" x14ac:dyDescent="0.2">
      <c r="B5772" s="9" t="s">
        <v>118</v>
      </c>
      <c r="C5772" s="15" t="s">
        <v>119</v>
      </c>
      <c r="D5772" s="12" t="str">
        <f>"0294-0337"</f>
        <v>0294-0337</v>
      </c>
      <c r="E5772" s="5">
        <v>0.189</v>
      </c>
      <c r="F5772" s="5">
        <v>1.0999999999999999E-2</v>
      </c>
    </row>
    <row r="5773" spans="2:6" x14ac:dyDescent="0.2">
      <c r="B5773" s="9" t="s">
        <v>6655</v>
      </c>
      <c r="C5773" s="15" t="s">
        <v>2769</v>
      </c>
      <c r="D5773" s="12" t="str">
        <f>"0765-1597"</f>
        <v>0765-1597</v>
      </c>
      <c r="E5773" s="5">
        <v>0.78900000000000003</v>
      </c>
      <c r="F5773" s="5">
        <v>6.8000000000000005E-2</v>
      </c>
    </row>
    <row r="5774" spans="2:6" x14ac:dyDescent="0.2">
      <c r="B5774" s="9" t="s">
        <v>11873</v>
      </c>
      <c r="C5774" s="15" t="s">
        <v>11874</v>
      </c>
      <c r="D5774" s="12" t="str">
        <f>"1088-8438"</f>
        <v>1088-8438</v>
      </c>
      <c r="E5774" s="5">
        <v>4.6619999999999999</v>
      </c>
      <c r="F5774" s="5">
        <v>0.89800000000000002</v>
      </c>
    </row>
    <row r="5775" spans="2:6" x14ac:dyDescent="0.2">
      <c r="B5775" s="9" t="s">
        <v>11875</v>
      </c>
      <c r="C5775" s="15" t="s">
        <v>11876</v>
      </c>
      <c r="D5775" s="12" t="str">
        <f>"2374-4731"</f>
        <v>2374-4731</v>
      </c>
      <c r="E5775" s="5">
        <v>1.99</v>
      </c>
      <c r="F5775" s="5">
        <v>0.42099999999999999</v>
      </c>
    </row>
    <row r="5776" spans="2:6" x14ac:dyDescent="0.2">
      <c r="B5776" s="9" t="s">
        <v>11877</v>
      </c>
      <c r="C5776" s="15" t="s">
        <v>11878</v>
      </c>
      <c r="D5776" s="12" t="str">
        <f>"2243-4690"</f>
        <v>2243-4690</v>
      </c>
      <c r="E5776" s="5">
        <v>2.8889999999999998</v>
      </c>
      <c r="F5776" s="5">
        <v>0.90500000000000003</v>
      </c>
    </row>
    <row r="5777" spans="2:6" x14ac:dyDescent="0.2">
      <c r="B5777" s="9" t="s">
        <v>11879</v>
      </c>
      <c r="C5777" s="15" t="s">
        <v>11880</v>
      </c>
      <c r="D5777" s="12" t="str">
        <f>"1946-6234"</f>
        <v>1946-6234</v>
      </c>
      <c r="E5777" s="5">
        <v>17.956</v>
      </c>
      <c r="F5777" s="5">
        <v>0.99299999999999999</v>
      </c>
    </row>
    <row r="5778" spans="2:6" x14ac:dyDescent="0.2">
      <c r="B5778" s="9" t="s">
        <v>6658</v>
      </c>
      <c r="C5778" s="15" t="s">
        <v>2770</v>
      </c>
      <c r="D5778" s="12" t="str">
        <f>"0036-9330"</f>
        <v>0036-9330</v>
      </c>
      <c r="E5778" s="5">
        <v>0.72899999999999998</v>
      </c>
      <c r="F5778" s="5">
        <v>0.13200000000000001</v>
      </c>
    </row>
    <row r="5779" spans="2:6" x14ac:dyDescent="0.2">
      <c r="B5779" s="9" t="s">
        <v>11881</v>
      </c>
      <c r="C5779" s="15" t="s">
        <v>11882</v>
      </c>
      <c r="D5779" s="12" t="str">
        <f>"0125-1562"</f>
        <v>0125-1562</v>
      </c>
      <c r="E5779" s="5">
        <v>0.26700000000000002</v>
      </c>
      <c r="F5779" s="5">
        <v>4.2999999999999997E-2</v>
      </c>
    </row>
    <row r="5780" spans="2:6" x14ac:dyDescent="0.2">
      <c r="B5780" s="9" t="s">
        <v>6659</v>
      </c>
      <c r="C5780" s="15" t="s">
        <v>2771</v>
      </c>
      <c r="D5780" s="12" t="str">
        <f>"1059-1311"</f>
        <v>1059-1311</v>
      </c>
      <c r="E5780" s="5">
        <v>3.1840000000000002</v>
      </c>
      <c r="F5780" s="5">
        <v>0.48099999999999998</v>
      </c>
    </row>
    <row r="5781" spans="2:6" x14ac:dyDescent="0.2">
      <c r="B5781" s="9" t="s">
        <v>11883</v>
      </c>
      <c r="C5781" s="15" t="s">
        <v>11884</v>
      </c>
      <c r="D5781" s="12" t="str">
        <f>"1529-8868"</f>
        <v>1529-8868</v>
      </c>
      <c r="E5781" s="5">
        <v>3.3039999999999998</v>
      </c>
      <c r="F5781" s="5">
        <v>0.67200000000000004</v>
      </c>
    </row>
    <row r="5782" spans="2:6" x14ac:dyDescent="0.2">
      <c r="B5782" s="9" t="s">
        <v>6660</v>
      </c>
      <c r="C5782" s="15" t="s">
        <v>2772</v>
      </c>
      <c r="D5782" s="12" t="str">
        <f>"1532-866X"</f>
        <v>1532-866X</v>
      </c>
      <c r="E5782" s="5">
        <v>5.532</v>
      </c>
      <c r="F5782" s="5">
        <v>0.82399999999999995</v>
      </c>
    </row>
    <row r="5783" spans="2:6" x14ac:dyDescent="0.2">
      <c r="B5783" s="9" t="s">
        <v>6661</v>
      </c>
      <c r="C5783" s="15" t="s">
        <v>2773</v>
      </c>
      <c r="D5783" s="12" t="str">
        <f>"1044-579X"</f>
        <v>1044-579X</v>
      </c>
      <c r="E5783" s="5">
        <v>15.707000000000001</v>
      </c>
      <c r="F5783" s="5">
        <v>0.95399999999999996</v>
      </c>
    </row>
    <row r="5784" spans="2:6" x14ac:dyDescent="0.2">
      <c r="B5784" s="9" t="s">
        <v>6662</v>
      </c>
      <c r="C5784" s="15" t="s">
        <v>2774</v>
      </c>
      <c r="D5784" s="12" t="str">
        <f>"1096-3634"</f>
        <v>1096-3634</v>
      </c>
      <c r="E5784" s="5">
        <v>7.7270000000000003</v>
      </c>
      <c r="F5784" s="5">
        <v>0.92700000000000005</v>
      </c>
    </row>
    <row r="5785" spans="2:6" x14ac:dyDescent="0.2">
      <c r="B5785" s="9" t="s">
        <v>6663</v>
      </c>
      <c r="C5785" s="15" t="s">
        <v>2775</v>
      </c>
      <c r="D5785" s="12" t="str">
        <f>"0740-2570"</f>
        <v>0740-2570</v>
      </c>
      <c r="E5785" s="5">
        <v>3.464</v>
      </c>
      <c r="F5785" s="5">
        <v>0.65500000000000003</v>
      </c>
    </row>
    <row r="5786" spans="2:6" x14ac:dyDescent="0.2">
      <c r="B5786" s="9" t="s">
        <v>6664</v>
      </c>
      <c r="C5786" s="15" t="s">
        <v>2776</v>
      </c>
      <c r="D5786" s="12" t="str">
        <f>"0894-0959"</f>
        <v>0894-0959</v>
      </c>
      <c r="E5786" s="5">
        <v>3.4550000000000001</v>
      </c>
      <c r="F5786" s="5">
        <v>0.64</v>
      </c>
    </row>
    <row r="5787" spans="2:6" x14ac:dyDescent="0.2">
      <c r="B5787" s="9" t="s">
        <v>121</v>
      </c>
      <c r="C5787" s="15" t="s">
        <v>122</v>
      </c>
      <c r="D5787" s="12" t="str">
        <f>"1744-165X"</f>
        <v>1744-165X</v>
      </c>
      <c r="E5787" s="5">
        <v>3.9260000000000002</v>
      </c>
      <c r="F5787" s="5">
        <v>0.89100000000000001</v>
      </c>
    </row>
    <row r="5788" spans="2:6" x14ac:dyDescent="0.2">
      <c r="B5788" s="9" t="s">
        <v>6665</v>
      </c>
      <c r="C5788" s="15" t="s">
        <v>2777</v>
      </c>
      <c r="D5788" s="12" t="str">
        <f>"0037-1963"</f>
        <v>0037-1963</v>
      </c>
      <c r="E5788" s="5">
        <v>3.851</v>
      </c>
      <c r="F5788" s="5">
        <v>0.59199999999999997</v>
      </c>
    </row>
    <row r="5789" spans="2:6" x14ac:dyDescent="0.2">
      <c r="B5789" s="9" t="s">
        <v>6666</v>
      </c>
      <c r="C5789" s="15" t="s">
        <v>2778</v>
      </c>
      <c r="D5789" s="12" t="str">
        <f>"1044-5323"</f>
        <v>1044-5323</v>
      </c>
      <c r="E5789" s="5">
        <v>11.13</v>
      </c>
      <c r="F5789" s="5">
        <v>0.92</v>
      </c>
    </row>
    <row r="5790" spans="2:6" x14ac:dyDescent="0.2">
      <c r="B5790" s="9" t="s">
        <v>123</v>
      </c>
      <c r="C5790" s="15" t="s">
        <v>124</v>
      </c>
      <c r="D5790" s="12" t="str">
        <f>"1863-2297"</f>
        <v>1863-2297</v>
      </c>
      <c r="E5790" s="5">
        <v>9.6229999999999993</v>
      </c>
      <c r="F5790" s="5">
        <v>0.97399999999999998</v>
      </c>
    </row>
    <row r="5791" spans="2:6" x14ac:dyDescent="0.2">
      <c r="B5791" s="9" t="s">
        <v>11885</v>
      </c>
      <c r="C5791" s="15" t="s">
        <v>11886</v>
      </c>
      <c r="D5791" s="12" t="str">
        <f>"0739-9529"</f>
        <v>0739-9529</v>
      </c>
      <c r="E5791" s="5">
        <v>1.5129999999999999</v>
      </c>
      <c r="F5791" s="5">
        <v>0.15</v>
      </c>
    </row>
    <row r="5792" spans="2:6" x14ac:dyDescent="0.2">
      <c r="B5792" s="9" t="s">
        <v>6667</v>
      </c>
      <c r="C5792" s="15" t="s">
        <v>2779</v>
      </c>
      <c r="D5792" s="12" t="str">
        <f>"0272-8087"</f>
        <v>0272-8087</v>
      </c>
      <c r="E5792" s="5">
        <v>6.1150000000000002</v>
      </c>
      <c r="F5792" s="5">
        <v>0.77200000000000002</v>
      </c>
    </row>
    <row r="5793" spans="2:6" x14ac:dyDescent="0.2">
      <c r="B5793" s="9" t="s">
        <v>6668</v>
      </c>
      <c r="C5793" s="15" t="s">
        <v>2780</v>
      </c>
      <c r="D5793" s="12" t="str">
        <f>"1089-7860"</f>
        <v>1089-7860</v>
      </c>
      <c r="E5793" s="5">
        <v>1.7769999999999999</v>
      </c>
      <c r="F5793" s="5">
        <v>0.22600000000000001</v>
      </c>
    </row>
    <row r="5794" spans="2:6" x14ac:dyDescent="0.2">
      <c r="B5794" s="9" t="s">
        <v>6669</v>
      </c>
      <c r="C5794" s="15" t="s">
        <v>2781</v>
      </c>
      <c r="D5794" s="12" t="str">
        <f>"0270-9295"</f>
        <v>0270-9295</v>
      </c>
      <c r="E5794" s="5">
        <v>5.2990000000000004</v>
      </c>
      <c r="F5794" s="5">
        <v>0.80900000000000005</v>
      </c>
    </row>
    <row r="5795" spans="2:6" x14ac:dyDescent="0.2">
      <c r="B5795" s="9" t="s">
        <v>6670</v>
      </c>
      <c r="C5795" s="15" t="s">
        <v>2782</v>
      </c>
      <c r="D5795" s="12" t="str">
        <f>"1098-9021"</f>
        <v>1098-9021</v>
      </c>
      <c r="E5795" s="5">
        <v>3.42</v>
      </c>
      <c r="F5795" s="5">
        <v>0.52400000000000002</v>
      </c>
    </row>
    <row r="5796" spans="2:6" x14ac:dyDescent="0.2">
      <c r="B5796" s="9" t="s">
        <v>6671</v>
      </c>
      <c r="C5796" s="15" t="s">
        <v>2783</v>
      </c>
      <c r="D5796" s="12" t="str">
        <f>"0001-2998"</f>
        <v>0001-2998</v>
      </c>
      <c r="E5796" s="5">
        <v>4.4459999999999997</v>
      </c>
      <c r="F5796" s="5">
        <v>0.78200000000000003</v>
      </c>
    </row>
    <row r="5797" spans="2:6" x14ac:dyDescent="0.2">
      <c r="B5797" s="9" t="s">
        <v>6672</v>
      </c>
      <c r="C5797" s="15" t="s">
        <v>2784</v>
      </c>
      <c r="D5797" s="12" t="str">
        <f>"0093-7754"</f>
        <v>0093-7754</v>
      </c>
      <c r="E5797" s="5">
        <v>4.9290000000000003</v>
      </c>
      <c r="F5797" s="5">
        <v>0.61799999999999999</v>
      </c>
    </row>
    <row r="5798" spans="2:6" x14ac:dyDescent="0.2">
      <c r="B5798" s="9" t="s">
        <v>11887</v>
      </c>
      <c r="C5798" s="15" t="s">
        <v>11888</v>
      </c>
      <c r="D5798" s="12" t="str">
        <f>"0749-2081"</f>
        <v>0749-2081</v>
      </c>
      <c r="E5798" s="5">
        <v>2.3149999999999999</v>
      </c>
      <c r="F5798" s="5">
        <v>0.71399999999999997</v>
      </c>
    </row>
    <row r="5799" spans="2:6" x14ac:dyDescent="0.2">
      <c r="B5799" s="9" t="s">
        <v>11889</v>
      </c>
      <c r="C5799" s="15" t="s">
        <v>11890</v>
      </c>
      <c r="D5799" s="12" t="str">
        <f>"0882-0538"</f>
        <v>0882-0538</v>
      </c>
      <c r="E5799" s="5">
        <v>1.9750000000000001</v>
      </c>
      <c r="F5799" s="5">
        <v>0.32300000000000001</v>
      </c>
    </row>
    <row r="5800" spans="2:6" x14ac:dyDescent="0.2">
      <c r="B5800" s="9" t="s">
        <v>11891</v>
      </c>
      <c r="C5800" s="15" t="s">
        <v>11892</v>
      </c>
      <c r="D5800" s="12" t="str">
        <f>"1073-8746"</f>
        <v>1073-8746</v>
      </c>
      <c r="E5800" s="5">
        <v>0.97</v>
      </c>
      <c r="F5800" s="5">
        <v>3.3000000000000002E-2</v>
      </c>
    </row>
    <row r="5801" spans="2:6" x14ac:dyDescent="0.2">
      <c r="B5801" s="9" t="s">
        <v>11893</v>
      </c>
      <c r="C5801" s="15" t="s">
        <v>11894</v>
      </c>
      <c r="D5801" s="12" t="str">
        <f>"1558-0776"</f>
        <v>1558-0776</v>
      </c>
      <c r="E5801" s="5">
        <v>1.6359999999999999</v>
      </c>
      <c r="F5801" s="5">
        <v>0.27900000000000003</v>
      </c>
    </row>
    <row r="5802" spans="2:6" x14ac:dyDescent="0.2">
      <c r="B5802" s="9" t="s">
        <v>11895</v>
      </c>
      <c r="C5802" s="15" t="s">
        <v>11896</v>
      </c>
      <c r="D5802" s="12" t="str">
        <f>"1055-8586"</f>
        <v>1055-8586</v>
      </c>
      <c r="E5802" s="5">
        <v>2.754</v>
      </c>
      <c r="F5802" s="5">
        <v>0.65900000000000003</v>
      </c>
    </row>
    <row r="5803" spans="2:6" x14ac:dyDescent="0.2">
      <c r="B5803" s="9" t="s">
        <v>6673</v>
      </c>
      <c r="C5803" s="15" t="s">
        <v>2785</v>
      </c>
      <c r="D5803" s="12" t="str">
        <f>"0146-0005"</f>
        <v>0146-0005</v>
      </c>
      <c r="E5803" s="5">
        <v>3.3</v>
      </c>
      <c r="F5803" s="5">
        <v>0.80600000000000005</v>
      </c>
    </row>
    <row r="5804" spans="2:6" x14ac:dyDescent="0.2">
      <c r="B5804" s="9" t="s">
        <v>11897</v>
      </c>
      <c r="C5804" s="15" t="s">
        <v>11898</v>
      </c>
      <c r="D5804" s="12" t="str">
        <f>"1535-2188"</f>
        <v>1535-2188</v>
      </c>
      <c r="E5804" s="5">
        <v>2.3140000000000001</v>
      </c>
      <c r="F5804" s="5">
        <v>0.46700000000000003</v>
      </c>
    </row>
    <row r="5805" spans="2:6" x14ac:dyDescent="0.2">
      <c r="B5805" s="9" t="s">
        <v>6674</v>
      </c>
      <c r="C5805" s="15" t="s">
        <v>2786</v>
      </c>
      <c r="D5805" s="12" t="str">
        <f>"1053-4296"</f>
        <v>1053-4296</v>
      </c>
      <c r="E5805" s="5">
        <v>5.9340000000000002</v>
      </c>
      <c r="F5805" s="5">
        <v>0.88</v>
      </c>
    </row>
    <row r="5806" spans="2:6" x14ac:dyDescent="0.2">
      <c r="B5806" s="9" t="s">
        <v>6675</v>
      </c>
      <c r="C5806" s="15" t="s">
        <v>2787</v>
      </c>
      <c r="D5806" s="12" t="str">
        <f>"1526-8004"</f>
        <v>1526-8004</v>
      </c>
      <c r="E5806" s="5">
        <v>1.3029999999999999</v>
      </c>
      <c r="F5806" s="5">
        <v>9.6000000000000002E-2</v>
      </c>
    </row>
    <row r="5807" spans="2:6" x14ac:dyDescent="0.2">
      <c r="B5807" s="9" t="s">
        <v>6676</v>
      </c>
      <c r="C5807" s="15" t="s">
        <v>2788</v>
      </c>
      <c r="D5807" s="12" t="str">
        <f>"1069-3424"</f>
        <v>1069-3424</v>
      </c>
      <c r="E5807" s="5">
        <v>3.1190000000000002</v>
      </c>
      <c r="F5807" s="5">
        <v>0.46899999999999997</v>
      </c>
    </row>
    <row r="5808" spans="2:6" x14ac:dyDescent="0.2">
      <c r="B5808" s="9" t="s">
        <v>6677</v>
      </c>
      <c r="C5808" s="15" t="s">
        <v>2789</v>
      </c>
      <c r="D5808" s="12" t="str">
        <f>"0037-198X"</f>
        <v>0037-198X</v>
      </c>
      <c r="E5808" s="5">
        <v>0.8</v>
      </c>
      <c r="F5808" s="5">
        <v>3.7999999999999999E-2</v>
      </c>
    </row>
    <row r="5809" spans="2:6" x14ac:dyDescent="0.2">
      <c r="B5809" s="9" t="s">
        <v>11899</v>
      </c>
      <c r="C5809" s="15" t="s">
        <v>11900</v>
      </c>
      <c r="D5809" s="12" t="str">
        <f>"0734-0478"</f>
        <v>0734-0478</v>
      </c>
      <c r="E5809" s="5">
        <v>1.7609999999999999</v>
      </c>
      <c r="F5809" s="5">
        <v>0.33300000000000002</v>
      </c>
    </row>
    <row r="5810" spans="2:6" x14ac:dyDescent="0.2">
      <c r="B5810" s="9" t="s">
        <v>11901</v>
      </c>
      <c r="C5810" s="15" t="s">
        <v>11902</v>
      </c>
      <c r="D5810" s="12" t="str">
        <f>"1043-0679"</f>
        <v>1043-0679</v>
      </c>
      <c r="E5810" s="5">
        <v>2.0059999999999998</v>
      </c>
      <c r="F5810" s="5">
        <v>0.24099999999999999</v>
      </c>
    </row>
    <row r="5811" spans="2:6" x14ac:dyDescent="0.2">
      <c r="B5811" s="9" t="s">
        <v>6678</v>
      </c>
      <c r="C5811" s="15" t="s">
        <v>2790</v>
      </c>
      <c r="D5811" s="12" t="str">
        <f>"0094-6176"</f>
        <v>0094-6176</v>
      </c>
      <c r="E5811" s="5">
        <v>4.18</v>
      </c>
      <c r="F5811" s="5">
        <v>0.69199999999999995</v>
      </c>
    </row>
    <row r="5812" spans="2:6" x14ac:dyDescent="0.2">
      <c r="B5812" s="9" t="s">
        <v>6679</v>
      </c>
      <c r="C5812" s="15" t="s">
        <v>2791</v>
      </c>
      <c r="D5812" s="12" t="str">
        <f>"0887-2171"</f>
        <v>0887-2171</v>
      </c>
      <c r="E5812" s="5">
        <v>1.875</v>
      </c>
      <c r="F5812" s="5">
        <v>0.24099999999999999</v>
      </c>
    </row>
    <row r="5813" spans="2:6" x14ac:dyDescent="0.2">
      <c r="B5813" s="9" t="s">
        <v>125</v>
      </c>
      <c r="C5813" s="15" t="s">
        <v>126</v>
      </c>
      <c r="D5813" s="12" t="str">
        <f>"1558-4518"</f>
        <v>1558-4518</v>
      </c>
      <c r="E5813" s="5">
        <v>1</v>
      </c>
      <c r="F5813" s="5">
        <v>9.5000000000000001E-2</v>
      </c>
    </row>
    <row r="5814" spans="2:6" x14ac:dyDescent="0.2">
      <c r="B5814" s="9" t="s">
        <v>11903</v>
      </c>
      <c r="C5814" s="15" t="s">
        <v>11903</v>
      </c>
      <c r="D5814" s="12" t="str">
        <f>"0037-1998"</f>
        <v>0037-1998</v>
      </c>
      <c r="E5814" s="5">
        <v>0.39200000000000002</v>
      </c>
      <c r="F5814" s="5">
        <v>7.2999999999999995E-2</v>
      </c>
    </row>
    <row r="5815" spans="2:6" x14ac:dyDescent="0.2">
      <c r="B5815" s="9" t="s">
        <v>6680</v>
      </c>
      <c r="C5815" s="15" t="s">
        <v>2792</v>
      </c>
      <c r="D5815" s="12" t="str">
        <f>"0925-4005"</f>
        <v>0925-4005</v>
      </c>
      <c r="E5815" s="5">
        <v>7.46</v>
      </c>
      <c r="F5815" s="5">
        <v>0.96899999999999997</v>
      </c>
    </row>
    <row r="5816" spans="2:6" x14ac:dyDescent="0.2">
      <c r="B5816" s="9" t="s">
        <v>6681</v>
      </c>
      <c r="C5816" s="15" t="s">
        <v>2793</v>
      </c>
      <c r="D5816" s="12" t="str">
        <f>"1424-8220"</f>
        <v>1424-8220</v>
      </c>
      <c r="E5816" s="5">
        <v>3.5760000000000001</v>
      </c>
      <c r="F5816" s="5">
        <v>0.79700000000000004</v>
      </c>
    </row>
    <row r="5817" spans="2:6" x14ac:dyDescent="0.2">
      <c r="B5817" s="9" t="s">
        <v>11904</v>
      </c>
      <c r="C5817" s="15" t="s">
        <v>11905</v>
      </c>
      <c r="D5817" s="12" t="str">
        <f>"2297-8739"</f>
        <v>2297-8739</v>
      </c>
      <c r="E5817" s="5">
        <v>2.7770000000000001</v>
      </c>
      <c r="F5817" s="5">
        <v>0.434</v>
      </c>
    </row>
    <row r="5818" spans="2:6" x14ac:dyDescent="0.2">
      <c r="B5818" s="9" t="s">
        <v>6682</v>
      </c>
      <c r="C5818" s="15" t="s">
        <v>2794</v>
      </c>
      <c r="D5818" s="12" t="str">
        <f>"1542-2119"</f>
        <v>1542-2119</v>
      </c>
      <c r="E5818" s="5">
        <v>9.6359999999999992</v>
      </c>
      <c r="F5818" s="5">
        <v>0.97299999999999998</v>
      </c>
    </row>
    <row r="5819" spans="2:6" x14ac:dyDescent="0.2">
      <c r="B5819" s="9" t="s">
        <v>6683</v>
      </c>
      <c r="C5819" s="15" t="s">
        <v>2795</v>
      </c>
      <c r="D5819" s="12" t="str">
        <f>"0149-6395"</f>
        <v>0149-6395</v>
      </c>
      <c r="E5819" s="5">
        <v>2.4750000000000001</v>
      </c>
      <c r="F5819" s="5">
        <v>0.45500000000000002</v>
      </c>
    </row>
    <row r="5820" spans="2:6" x14ac:dyDescent="0.2">
      <c r="B5820" s="9" t="s">
        <v>11906</v>
      </c>
      <c r="C5820" s="15" t="s">
        <v>11907</v>
      </c>
      <c r="D5820" s="12" t="str">
        <f>"0747-4946"</f>
        <v>0747-4946</v>
      </c>
      <c r="E5820" s="5">
        <v>0.92700000000000005</v>
      </c>
      <c r="F5820" s="5">
        <v>0.184</v>
      </c>
    </row>
    <row r="5821" spans="2:6" x14ac:dyDescent="0.2">
      <c r="B5821" s="9" t="s">
        <v>127</v>
      </c>
      <c r="C5821" s="15" t="s">
        <v>128</v>
      </c>
      <c r="D5821" s="12" t="str">
        <f>"0098-7913"</f>
        <v>0098-7913</v>
      </c>
      <c r="E5821" s="5">
        <v>0.32400000000000001</v>
      </c>
      <c r="F5821" s="5">
        <v>0.106</v>
      </c>
    </row>
    <row r="5822" spans="2:6" x14ac:dyDescent="0.2">
      <c r="B5822" s="9" t="s">
        <v>129</v>
      </c>
      <c r="C5822" s="15" t="s">
        <v>130</v>
      </c>
      <c r="D5822" s="12" t="str">
        <f>"1079-0632"</f>
        <v>1079-0632</v>
      </c>
      <c r="E5822" s="5">
        <v>3.4889999999999999</v>
      </c>
      <c r="F5822" s="5">
        <v>0.79700000000000004</v>
      </c>
    </row>
    <row r="5823" spans="2:6" x14ac:dyDescent="0.2">
      <c r="B5823" s="9" t="s">
        <v>131</v>
      </c>
      <c r="C5823" s="15" t="s">
        <v>132</v>
      </c>
      <c r="D5823" s="12" t="str">
        <f>"1661-5425"</f>
        <v>1661-5425</v>
      </c>
      <c r="E5823" s="5">
        <v>1.8240000000000001</v>
      </c>
      <c r="F5823" s="5">
        <v>0.14599999999999999</v>
      </c>
    </row>
    <row r="5824" spans="2:6" x14ac:dyDescent="0.2">
      <c r="B5824" s="9" t="s">
        <v>133</v>
      </c>
      <c r="C5824" s="15" t="s">
        <v>134</v>
      </c>
      <c r="D5824" s="12" t="str">
        <f>"0146-1044"</f>
        <v>0146-1044</v>
      </c>
      <c r="E5824" s="5">
        <v>1.4630000000000001</v>
      </c>
      <c r="F5824" s="5">
        <v>0.17599999999999999</v>
      </c>
    </row>
    <row r="5825" spans="2:6" x14ac:dyDescent="0.2">
      <c r="B5825" s="9" t="s">
        <v>11908</v>
      </c>
      <c r="C5825" s="15" t="s">
        <v>11909</v>
      </c>
      <c r="D5825" s="12" t="str">
        <f>"1468-1811"</f>
        <v>1468-1811</v>
      </c>
      <c r="E5825" s="5">
        <v>2.6459999999999999</v>
      </c>
      <c r="F5825" s="5">
        <v>0.61399999999999999</v>
      </c>
    </row>
    <row r="5826" spans="2:6" x14ac:dyDescent="0.2">
      <c r="B5826" s="9" t="s">
        <v>135</v>
      </c>
      <c r="C5826" s="15" t="s">
        <v>136</v>
      </c>
      <c r="D5826" s="12" t="str">
        <f>"1448-5028"</f>
        <v>1448-5028</v>
      </c>
      <c r="E5826" s="5">
        <v>2.706</v>
      </c>
      <c r="F5826" s="5">
        <v>0.56299999999999994</v>
      </c>
    </row>
    <row r="5827" spans="2:6" x14ac:dyDescent="0.2">
      <c r="B5827" s="9" t="s">
        <v>11910</v>
      </c>
      <c r="C5827" s="15" t="s">
        <v>11911</v>
      </c>
      <c r="D5827" s="12" t="str">
        <f>"2050-0513"</f>
        <v>2050-0513</v>
      </c>
      <c r="E5827" s="5">
        <v>4.8360000000000003</v>
      </c>
      <c r="F5827" s="5">
        <v>0.79800000000000004</v>
      </c>
    </row>
    <row r="5828" spans="2:6" x14ac:dyDescent="0.2">
      <c r="B5828" s="9" t="s">
        <v>11912</v>
      </c>
      <c r="C5828" s="15" t="s">
        <v>11913</v>
      </c>
      <c r="D5828" s="12" t="str">
        <f>"2050-1161"</f>
        <v>2050-1161</v>
      </c>
      <c r="E5828" s="5">
        <v>2.4910000000000001</v>
      </c>
      <c r="F5828" s="5">
        <v>0.55700000000000005</v>
      </c>
    </row>
    <row r="5829" spans="2:6" x14ac:dyDescent="0.2">
      <c r="B5829" s="9" t="s">
        <v>11914</v>
      </c>
      <c r="C5829" s="15" t="s">
        <v>11915</v>
      </c>
      <c r="D5829" s="12" t="str">
        <f>"1468-1994"</f>
        <v>1468-1994</v>
      </c>
      <c r="E5829" s="5">
        <v>1.2829999999999999</v>
      </c>
      <c r="F5829" s="5">
        <v>0.185</v>
      </c>
    </row>
    <row r="5830" spans="2:6" x14ac:dyDescent="0.2">
      <c r="B5830" s="9" t="s">
        <v>11916</v>
      </c>
      <c r="C5830" s="15" t="s">
        <v>11917</v>
      </c>
      <c r="D5830" s="12" t="str">
        <f>"1877-5756"</f>
        <v>1877-5756</v>
      </c>
      <c r="E5830" s="5">
        <v>2.024</v>
      </c>
      <c r="F5830" s="5">
        <v>0.36199999999999999</v>
      </c>
    </row>
    <row r="5831" spans="2:6" x14ac:dyDescent="0.2">
      <c r="B5831" s="9" t="s">
        <v>11918</v>
      </c>
      <c r="C5831" s="15" t="s">
        <v>11919</v>
      </c>
      <c r="D5831" s="12" t="str">
        <f>"2641-0397"</f>
        <v>2641-0397</v>
      </c>
      <c r="E5831" s="5">
        <v>2.5640000000000001</v>
      </c>
      <c r="F5831" s="5">
        <v>0.52200000000000002</v>
      </c>
    </row>
    <row r="5832" spans="2:6" x14ac:dyDescent="0.2">
      <c r="B5832" s="9" t="s">
        <v>11920</v>
      </c>
      <c r="C5832" s="15" t="s">
        <v>11921</v>
      </c>
      <c r="D5832" s="12" t="str">
        <f>"1868-9884"</f>
        <v>1868-9884</v>
      </c>
      <c r="E5832" s="5">
        <v>3.6179999999999999</v>
      </c>
      <c r="F5832" s="5">
        <v>0.88100000000000001</v>
      </c>
    </row>
    <row r="5833" spans="2:6" x14ac:dyDescent="0.2">
      <c r="B5833" s="9" t="s">
        <v>137</v>
      </c>
      <c r="C5833" s="15" t="s">
        <v>137</v>
      </c>
      <c r="D5833" s="12" t="str">
        <f>"0360-0025"</f>
        <v>0360-0025</v>
      </c>
      <c r="E5833" s="5">
        <v>4.1539999999999999</v>
      </c>
      <c r="F5833" s="5">
        <v>1</v>
      </c>
    </row>
    <row r="5834" spans="2:6" x14ac:dyDescent="0.2">
      <c r="B5834" s="9" t="s">
        <v>6684</v>
      </c>
      <c r="C5834" s="15" t="s">
        <v>2796</v>
      </c>
      <c r="D5834" s="12" t="str">
        <f>"0148-5717"</f>
        <v>0148-5717</v>
      </c>
      <c r="E5834" s="5">
        <v>2.83</v>
      </c>
      <c r="F5834" s="5">
        <v>0.35899999999999999</v>
      </c>
    </row>
    <row r="5835" spans="2:6" x14ac:dyDescent="0.2">
      <c r="B5835" s="9" t="s">
        <v>6685</v>
      </c>
      <c r="C5835" s="15" t="s">
        <v>2797</v>
      </c>
      <c r="D5835" s="12" t="str">
        <f>"1368-4973"</f>
        <v>1368-4973</v>
      </c>
      <c r="E5835" s="5">
        <v>3.5190000000000001</v>
      </c>
      <c r="F5835" s="5">
        <v>0.5</v>
      </c>
    </row>
    <row r="5836" spans="2:6" x14ac:dyDescent="0.2">
      <c r="B5836" s="9" t="s">
        <v>6686</v>
      </c>
      <c r="C5836" s="15" t="s">
        <v>6686</v>
      </c>
      <c r="D5836" s="12" t="str">
        <f>"1073-2322"</f>
        <v>1073-2322</v>
      </c>
      <c r="E5836" s="5">
        <v>3.4540000000000002</v>
      </c>
      <c r="F5836" s="5">
        <v>0.72399999999999998</v>
      </c>
    </row>
    <row r="5837" spans="2:6" x14ac:dyDescent="0.2">
      <c r="B5837" s="9" t="s">
        <v>6687</v>
      </c>
      <c r="C5837" s="15" t="s">
        <v>2798</v>
      </c>
      <c r="D5837" s="12" t="str">
        <f>"1070-9622"</f>
        <v>1070-9622</v>
      </c>
      <c r="E5837" s="5">
        <v>1.5429999999999999</v>
      </c>
      <c r="F5837" s="5">
        <v>0.35499999999999998</v>
      </c>
    </row>
    <row r="5838" spans="2:6" x14ac:dyDescent="0.2">
      <c r="B5838" s="9" t="s">
        <v>11922</v>
      </c>
      <c r="C5838" s="15" t="s">
        <v>11923</v>
      </c>
      <c r="D5838" s="12" t="str">
        <f>"2059-3635"</f>
        <v>2059-3635</v>
      </c>
      <c r="E5838" s="5">
        <v>18.187000000000001</v>
      </c>
      <c r="F5838" s="5">
        <v>0.98599999999999999</v>
      </c>
    </row>
    <row r="5839" spans="2:6" x14ac:dyDescent="0.2">
      <c r="B5839" s="9" t="s">
        <v>138</v>
      </c>
      <c r="C5839" s="15" t="s">
        <v>139</v>
      </c>
      <c r="D5839" s="12" t="str">
        <f>"1334-5605"</f>
        <v>1334-5605</v>
      </c>
      <c r="E5839" s="5">
        <v>0.63</v>
      </c>
      <c r="F5839" s="5">
        <v>9.4E-2</v>
      </c>
    </row>
    <row r="5840" spans="2:6" x14ac:dyDescent="0.2">
      <c r="B5840" s="9" t="s">
        <v>140</v>
      </c>
      <c r="C5840" s="15" t="s">
        <v>140</v>
      </c>
      <c r="D5840" s="12" t="str">
        <f>"0097-9740"</f>
        <v>0097-9740</v>
      </c>
      <c r="E5840" s="5">
        <v>2.4620000000000002</v>
      </c>
      <c r="F5840" s="5">
        <v>0.77300000000000002</v>
      </c>
    </row>
    <row r="5841" spans="2:6" x14ac:dyDescent="0.2">
      <c r="B5841" s="9" t="s">
        <v>6688</v>
      </c>
      <c r="C5841" s="15" t="s">
        <v>2799</v>
      </c>
      <c r="D5841" s="12" t="str">
        <f>"0037-5349"</f>
        <v>0037-5349</v>
      </c>
      <c r="E5841" s="5">
        <v>0.79500000000000004</v>
      </c>
      <c r="F5841" s="5">
        <v>0.17899999999999999</v>
      </c>
    </row>
    <row r="5842" spans="2:6" x14ac:dyDescent="0.2">
      <c r="B5842" s="9" t="s">
        <v>11924</v>
      </c>
      <c r="C5842" s="15" t="s">
        <v>11925</v>
      </c>
      <c r="D5842" s="12" t="str">
        <f>"1559-2332"</f>
        <v>1559-2332</v>
      </c>
      <c r="E5842" s="5">
        <v>1.929</v>
      </c>
      <c r="F5842" s="5">
        <v>0.16800000000000001</v>
      </c>
    </row>
    <row r="5843" spans="2:6" x14ac:dyDescent="0.2">
      <c r="B5843" s="9" t="s">
        <v>141</v>
      </c>
      <c r="C5843" s="15" t="s">
        <v>142</v>
      </c>
      <c r="D5843" s="12" t="str">
        <f>"1569-190X"</f>
        <v>1569-190X</v>
      </c>
      <c r="E5843" s="5">
        <v>3.2719999999999998</v>
      </c>
      <c r="F5843" s="5">
        <v>0.81699999999999995</v>
      </c>
    </row>
    <row r="5844" spans="2:6" ht="25.5" x14ac:dyDescent="0.2">
      <c r="B5844" s="9" t="s">
        <v>143</v>
      </c>
      <c r="C5844" s="15" t="s">
        <v>11926</v>
      </c>
      <c r="D5844" s="12" t="str">
        <f>"0037-5497"</f>
        <v>0037-5497</v>
      </c>
      <c r="E5844" s="5">
        <v>1.377</v>
      </c>
      <c r="F5844" s="5">
        <v>0.312</v>
      </c>
    </row>
    <row r="5845" spans="2:6" x14ac:dyDescent="0.2">
      <c r="B5845" s="9" t="s">
        <v>11927</v>
      </c>
      <c r="C5845" s="15" t="s">
        <v>11928</v>
      </c>
      <c r="D5845" s="12" t="str">
        <f>"0037-5675"</f>
        <v>0037-5675</v>
      </c>
      <c r="E5845" s="5">
        <v>1.8580000000000001</v>
      </c>
      <c r="F5845" s="5">
        <v>0.40699999999999997</v>
      </c>
    </row>
    <row r="5846" spans="2:6" x14ac:dyDescent="0.2">
      <c r="B5846" s="9" t="s">
        <v>6689</v>
      </c>
      <c r="C5846" s="15" t="s">
        <v>2800</v>
      </c>
      <c r="D5846" s="12" t="str">
        <f>"0364-2348"</f>
        <v>0364-2348</v>
      </c>
      <c r="E5846" s="5">
        <v>2.1989999999999998</v>
      </c>
      <c r="F5846" s="5">
        <v>0.42</v>
      </c>
    </row>
    <row r="5847" spans="2:6" x14ac:dyDescent="0.2">
      <c r="B5847" s="9" t="s">
        <v>11929</v>
      </c>
      <c r="C5847" s="15" t="s">
        <v>11930</v>
      </c>
      <c r="D5847" s="12" t="str">
        <f>"2044-5040"</f>
        <v>2044-5040</v>
      </c>
      <c r="E5847" s="5">
        <v>4.9119999999999999</v>
      </c>
      <c r="F5847" s="5">
        <v>0.54900000000000004</v>
      </c>
    </row>
    <row r="5848" spans="2:6" x14ac:dyDescent="0.2">
      <c r="B5848" s="9" t="s">
        <v>6690</v>
      </c>
      <c r="C5848" s="15" t="s">
        <v>2801</v>
      </c>
      <c r="D5848" s="12" t="str">
        <f>"1660-5527"</f>
        <v>1660-5527</v>
      </c>
      <c r="E5848" s="5">
        <v>3.4790000000000001</v>
      </c>
      <c r="F5848" s="5">
        <v>0.67600000000000005</v>
      </c>
    </row>
    <row r="5849" spans="2:6" x14ac:dyDescent="0.2">
      <c r="B5849" s="9" t="s">
        <v>6691</v>
      </c>
      <c r="C5849" s="15" t="s">
        <v>2802</v>
      </c>
      <c r="D5849" s="12" t="str">
        <f>"0909-752X"</f>
        <v>0909-752X</v>
      </c>
      <c r="E5849" s="5">
        <v>2.3650000000000002</v>
      </c>
      <c r="F5849" s="5">
        <v>0.39700000000000002</v>
      </c>
    </row>
    <row r="5850" spans="2:6" x14ac:dyDescent="0.2">
      <c r="B5850" s="9" t="s">
        <v>11931</v>
      </c>
      <c r="C5850" s="15" t="s">
        <v>11932</v>
      </c>
      <c r="D5850" s="12" t="str">
        <f>"2472-5552"</f>
        <v>2472-5552</v>
      </c>
      <c r="E5850" s="5">
        <v>2.9180000000000001</v>
      </c>
      <c r="F5850" s="5">
        <v>0.48199999999999998</v>
      </c>
    </row>
    <row r="5851" spans="2:6" x14ac:dyDescent="0.2">
      <c r="B5851" s="9" t="s">
        <v>11933</v>
      </c>
      <c r="C5851" s="15" t="s">
        <v>11934</v>
      </c>
      <c r="D5851" s="12" t="str">
        <f>"2472-6303"</f>
        <v>2472-6303</v>
      </c>
      <c r="E5851" s="5">
        <v>3.0470000000000002</v>
      </c>
      <c r="F5851" s="5">
        <v>0.51800000000000002</v>
      </c>
    </row>
    <row r="5852" spans="2:6" x14ac:dyDescent="0.2">
      <c r="B5852" s="9" t="s">
        <v>6692</v>
      </c>
      <c r="C5852" s="15" t="s">
        <v>6692</v>
      </c>
      <c r="D5852" s="12" t="str">
        <f>"1550-9109"</f>
        <v>1550-9109</v>
      </c>
      <c r="E5852" s="5">
        <v>5.8490000000000002</v>
      </c>
      <c r="F5852" s="5">
        <v>0.84599999999999997</v>
      </c>
    </row>
    <row r="5853" spans="2:6" x14ac:dyDescent="0.2">
      <c r="B5853" s="9" t="s">
        <v>144</v>
      </c>
      <c r="C5853" s="15" t="s">
        <v>145</v>
      </c>
      <c r="D5853" s="12" t="str">
        <f>"1446-9235"</f>
        <v>1446-9235</v>
      </c>
      <c r="E5853" s="5">
        <v>1.1859999999999999</v>
      </c>
      <c r="F5853" s="5">
        <v>5.8000000000000003E-2</v>
      </c>
    </row>
    <row r="5854" spans="2:6" x14ac:dyDescent="0.2">
      <c r="B5854" s="9" t="s">
        <v>146</v>
      </c>
      <c r="C5854" s="15" t="s">
        <v>147</v>
      </c>
      <c r="D5854" s="12" t="str">
        <f>"1520-9512"</f>
        <v>1520-9512</v>
      </c>
      <c r="E5854" s="5">
        <v>2.8159999999999998</v>
      </c>
      <c r="F5854" s="5">
        <v>0.38500000000000001</v>
      </c>
    </row>
    <row r="5855" spans="2:6" x14ac:dyDescent="0.2">
      <c r="B5855" s="9" t="s">
        <v>11935</v>
      </c>
      <c r="C5855" s="15" t="s">
        <v>11936</v>
      </c>
      <c r="D5855" s="12" t="str">
        <f>"2352-7218"</f>
        <v>2352-7218</v>
      </c>
      <c r="E5855" s="5">
        <v>4.45</v>
      </c>
      <c r="F5855" s="5">
        <v>0.71599999999999997</v>
      </c>
    </row>
    <row r="5856" spans="2:6" x14ac:dyDescent="0.2">
      <c r="B5856" s="9" t="s">
        <v>6693</v>
      </c>
      <c r="C5856" s="15" t="s">
        <v>2803</v>
      </c>
      <c r="D5856" s="12" t="str">
        <f>"1389-9457"</f>
        <v>1389-9457</v>
      </c>
      <c r="E5856" s="5">
        <v>3.492</v>
      </c>
      <c r="F5856" s="5">
        <v>0.55300000000000005</v>
      </c>
    </row>
    <row r="5857" spans="2:6" x14ac:dyDescent="0.2">
      <c r="B5857" s="9" t="s">
        <v>6694</v>
      </c>
      <c r="C5857" s="15" t="s">
        <v>2804</v>
      </c>
      <c r="D5857" s="12" t="str">
        <f>"1087-0792"</f>
        <v>1087-0792</v>
      </c>
      <c r="E5857" s="5">
        <v>11.609</v>
      </c>
      <c r="F5857" s="5">
        <v>0.96599999999999997</v>
      </c>
    </row>
    <row r="5858" spans="2:6" x14ac:dyDescent="0.2">
      <c r="B5858" s="9" t="s">
        <v>11937</v>
      </c>
      <c r="C5858" s="15" t="s">
        <v>11938</v>
      </c>
      <c r="D5858" s="12" t="str">
        <f>"1580-4003"</f>
        <v>1580-4003</v>
      </c>
      <c r="E5858" s="5">
        <v>0.749</v>
      </c>
      <c r="F5858" s="5">
        <v>0.253</v>
      </c>
    </row>
    <row r="5859" spans="2:6" x14ac:dyDescent="0.2">
      <c r="B5859" s="9" t="s">
        <v>6695</v>
      </c>
      <c r="C5859" s="15" t="s">
        <v>2805</v>
      </c>
      <c r="D5859" s="12" t="str">
        <f>"1613-6810"</f>
        <v>1613-6810</v>
      </c>
      <c r="E5859" s="5">
        <v>13.281000000000001</v>
      </c>
      <c r="F5859" s="5">
        <v>0.93799999999999994</v>
      </c>
    </row>
    <row r="5860" spans="2:6" x14ac:dyDescent="0.2">
      <c r="B5860" s="9" t="s">
        <v>148</v>
      </c>
      <c r="C5860" s="15" t="s">
        <v>149</v>
      </c>
      <c r="D5860" s="12" t="str">
        <f>"1046-4964"</f>
        <v>1046-4964</v>
      </c>
      <c r="E5860" s="5">
        <v>2.66</v>
      </c>
      <c r="F5860" s="5">
        <v>0.48399999999999999</v>
      </c>
    </row>
    <row r="5861" spans="2:6" x14ac:dyDescent="0.2">
      <c r="B5861" s="9" t="s">
        <v>6696</v>
      </c>
      <c r="C5861" s="15" t="s">
        <v>2806</v>
      </c>
      <c r="D5861" s="12" t="str">
        <f>"1738-1584"</f>
        <v>1738-1584</v>
      </c>
      <c r="E5861" s="5">
        <v>3.3420000000000001</v>
      </c>
      <c r="F5861" s="5">
        <v>0.71899999999999997</v>
      </c>
    </row>
    <row r="5862" spans="2:6" x14ac:dyDescent="0.2">
      <c r="B5862" s="9" t="s">
        <v>6697</v>
      </c>
      <c r="C5862" s="15" t="s">
        <v>2807</v>
      </c>
      <c r="D5862" s="12" t="str">
        <f>"1063-1119"</f>
        <v>1063-1119</v>
      </c>
      <c r="E5862" s="5">
        <v>0.82699999999999996</v>
      </c>
      <c r="F5862" s="5">
        <v>0.28799999999999998</v>
      </c>
    </row>
    <row r="5863" spans="2:6" x14ac:dyDescent="0.2">
      <c r="B5863" s="9" t="s">
        <v>150</v>
      </c>
      <c r="C5863" s="15" t="s">
        <v>151</v>
      </c>
      <c r="D5863" s="12" t="str">
        <f>"0301-2212"</f>
        <v>0301-2212</v>
      </c>
      <c r="E5863" s="5">
        <v>0.97599999999999998</v>
      </c>
      <c r="F5863" s="5">
        <v>0.109</v>
      </c>
    </row>
    <row r="5864" spans="2:6" x14ac:dyDescent="0.2">
      <c r="B5864" s="9" t="s">
        <v>152</v>
      </c>
      <c r="C5864" s="15" t="s">
        <v>153</v>
      </c>
      <c r="D5864" s="12" t="str">
        <f>"1749-5024"</f>
        <v>1749-5024</v>
      </c>
      <c r="E5864" s="5">
        <v>3.4359999999999999</v>
      </c>
      <c r="F5864" s="5">
        <v>0.75600000000000001</v>
      </c>
    </row>
    <row r="5865" spans="2:6" x14ac:dyDescent="0.2">
      <c r="B5865" s="9" t="s">
        <v>154</v>
      </c>
      <c r="C5865" s="15" t="s">
        <v>155</v>
      </c>
      <c r="D5865" s="12" t="str">
        <f>"0278-016X"</f>
        <v>0278-016X</v>
      </c>
      <c r="E5865" s="5">
        <v>1.821</v>
      </c>
      <c r="F5865" s="5">
        <v>0.25</v>
      </c>
    </row>
    <row r="5866" spans="2:6" x14ac:dyDescent="0.2">
      <c r="B5866" s="9" t="s">
        <v>156</v>
      </c>
      <c r="C5866" s="15" t="s">
        <v>157</v>
      </c>
      <c r="D5866" s="12" t="str">
        <f>"0961-205X"</f>
        <v>0961-205X</v>
      </c>
      <c r="E5866" s="5">
        <v>2.2690000000000001</v>
      </c>
      <c r="F5866" s="5">
        <v>0.41599999999999998</v>
      </c>
    </row>
    <row r="5867" spans="2:6" x14ac:dyDescent="0.2">
      <c r="B5867" s="9" t="s">
        <v>11939</v>
      </c>
      <c r="C5867" s="15" t="s">
        <v>11940</v>
      </c>
      <c r="D5867" s="12" t="str">
        <f>"0269-1728"</f>
        <v>0269-1728</v>
      </c>
      <c r="E5867" s="5">
        <v>1.603</v>
      </c>
      <c r="F5867" s="5">
        <v>0.75700000000000001</v>
      </c>
    </row>
    <row r="5868" spans="2:6" x14ac:dyDescent="0.2">
      <c r="B5868" s="9" t="s">
        <v>6698</v>
      </c>
      <c r="C5868" s="15" t="s">
        <v>2808</v>
      </c>
      <c r="D5868" s="12" t="str">
        <f>"0951-631X"</f>
        <v>0951-631X</v>
      </c>
      <c r="E5868" s="5">
        <v>0.97299999999999998</v>
      </c>
      <c r="F5868" s="5">
        <v>0.77200000000000002</v>
      </c>
    </row>
    <row r="5869" spans="2:6" ht="25.5" x14ac:dyDescent="0.2">
      <c r="B5869" s="9" t="s">
        <v>11941</v>
      </c>
      <c r="C5869" s="15" t="s">
        <v>11941</v>
      </c>
      <c r="D5869" s="12" t="str">
        <f>"1751-9004"</f>
        <v>1751-9004</v>
      </c>
      <c r="E5869" s="5">
        <v>2.5150000000000001</v>
      </c>
      <c r="F5869" s="5">
        <v>0.45300000000000001</v>
      </c>
    </row>
    <row r="5870" spans="2:6" x14ac:dyDescent="0.2">
      <c r="B5870" s="9" t="s">
        <v>183</v>
      </c>
      <c r="C5870" s="15" t="s">
        <v>183</v>
      </c>
      <c r="D5870" s="12" t="str">
        <f>"0147-2011"</f>
        <v>0147-2011</v>
      </c>
      <c r="E5870" s="5">
        <v>0.52800000000000002</v>
      </c>
      <c r="F5870" s="5">
        <v>0.156</v>
      </c>
    </row>
    <row r="5871" spans="2:6" x14ac:dyDescent="0.2">
      <c r="B5871" s="9" t="s">
        <v>11942</v>
      </c>
      <c r="C5871" s="15" t="s">
        <v>11943</v>
      </c>
      <c r="D5871" s="12" t="str">
        <f>"2183-2803"</f>
        <v>2183-2803</v>
      </c>
      <c r="E5871" s="5">
        <v>1.333</v>
      </c>
      <c r="F5871" s="5">
        <v>0.33</v>
      </c>
    </row>
    <row r="5872" spans="2:6" x14ac:dyDescent="0.2">
      <c r="B5872" s="9" t="s">
        <v>158</v>
      </c>
      <c r="C5872" s="15" t="s">
        <v>159</v>
      </c>
      <c r="D5872" s="12" t="str">
        <f>"0303-8300"</f>
        <v>0303-8300</v>
      </c>
      <c r="E5872" s="5">
        <v>2.6139999999999999</v>
      </c>
      <c r="F5872" s="5">
        <v>0.70599999999999996</v>
      </c>
    </row>
    <row r="5873" spans="2:6" x14ac:dyDescent="0.2">
      <c r="B5873" s="9" t="s">
        <v>11944</v>
      </c>
      <c r="C5873" s="15" t="s">
        <v>11945</v>
      </c>
      <c r="D5873" s="12" t="str">
        <f>"1553-4510"</f>
        <v>1553-4510</v>
      </c>
      <c r="E5873" s="5">
        <v>0.93300000000000005</v>
      </c>
      <c r="F5873" s="5">
        <v>9.4E-2</v>
      </c>
    </row>
    <row r="5874" spans="2:6" x14ac:dyDescent="0.2">
      <c r="B5874" s="9" t="s">
        <v>184</v>
      </c>
      <c r="C5874" s="15" t="s">
        <v>185</v>
      </c>
      <c r="D5874" s="12" t="str">
        <f>"0141-9889"</f>
        <v>0141-9889</v>
      </c>
      <c r="E5874" s="5">
        <v>3.0409999999999999</v>
      </c>
      <c r="F5874" s="5">
        <v>0.81799999999999995</v>
      </c>
    </row>
    <row r="5875" spans="2:6" x14ac:dyDescent="0.2">
      <c r="B5875" s="9" t="s">
        <v>6700</v>
      </c>
      <c r="C5875" s="15" t="s">
        <v>2810</v>
      </c>
      <c r="D5875" s="12" t="str">
        <f>"1543-2785"</f>
        <v>1543-2785</v>
      </c>
      <c r="E5875" s="5">
        <v>2.1339999999999999</v>
      </c>
      <c r="F5875" s="5">
        <v>0.54400000000000004</v>
      </c>
    </row>
    <row r="5876" spans="2:6" x14ac:dyDescent="0.2">
      <c r="B5876" s="9" t="s">
        <v>11946</v>
      </c>
      <c r="C5876" s="15" t="s">
        <v>11947</v>
      </c>
      <c r="D5876" s="12" t="str">
        <f>"1751-2395"</f>
        <v>1751-2395</v>
      </c>
      <c r="E5876" s="5">
        <v>8.3130000000000006</v>
      </c>
      <c r="F5876" s="5">
        <v>0.98399999999999999</v>
      </c>
    </row>
    <row r="5877" spans="2:6" x14ac:dyDescent="0.2">
      <c r="B5877" s="9" t="s">
        <v>11948</v>
      </c>
      <c r="C5877" s="15" t="s">
        <v>11949</v>
      </c>
      <c r="D5877" s="12" t="str">
        <f>"0885-7466"</f>
        <v>0885-7466</v>
      </c>
      <c r="E5877" s="5">
        <v>1.444</v>
      </c>
      <c r="F5877" s="5">
        <v>0.33600000000000002</v>
      </c>
    </row>
    <row r="5878" spans="2:6" x14ac:dyDescent="0.2">
      <c r="B5878" s="9" t="s">
        <v>160</v>
      </c>
      <c r="C5878" s="15" t="s">
        <v>161</v>
      </c>
      <c r="D5878" s="12" t="str">
        <f>"0964-6639"</f>
        <v>0964-6639</v>
      </c>
      <c r="E5878" s="5">
        <v>1.806</v>
      </c>
      <c r="F5878" s="5">
        <v>0.66900000000000004</v>
      </c>
    </row>
    <row r="5879" spans="2:6" x14ac:dyDescent="0.2">
      <c r="B5879" s="9" t="s">
        <v>162</v>
      </c>
      <c r="C5879" s="15" t="s">
        <v>163</v>
      </c>
      <c r="D5879" s="12" t="str">
        <f>"1747-0919"</f>
        <v>1747-0919</v>
      </c>
      <c r="E5879" s="5">
        <v>2.0830000000000002</v>
      </c>
      <c r="F5879" s="5">
        <v>0.28599999999999998</v>
      </c>
    </row>
    <row r="5880" spans="2:6" x14ac:dyDescent="0.2">
      <c r="B5880" s="9" t="s">
        <v>164</v>
      </c>
      <c r="C5880" s="15" t="s">
        <v>165</v>
      </c>
      <c r="D5880" s="12" t="str">
        <f>"0265-0525"</f>
        <v>0265-0525</v>
      </c>
      <c r="E5880" s="5">
        <v>0.45100000000000001</v>
      </c>
      <c r="F5880" s="5">
        <v>0.11899999999999999</v>
      </c>
    </row>
    <row r="5881" spans="2:6" x14ac:dyDescent="0.2">
      <c r="B5881" s="9" t="s">
        <v>166</v>
      </c>
      <c r="C5881" s="15" t="s">
        <v>167</v>
      </c>
      <c r="D5881" s="12" t="str">
        <f>"1072-4745"</f>
        <v>1072-4745</v>
      </c>
      <c r="E5881" s="5">
        <v>1.8080000000000001</v>
      </c>
      <c r="F5881" s="5">
        <v>0.54500000000000004</v>
      </c>
    </row>
    <row r="5882" spans="2:6" x14ac:dyDescent="0.2">
      <c r="B5882" s="9" t="s">
        <v>11950</v>
      </c>
      <c r="C5882" s="15" t="s">
        <v>11951</v>
      </c>
      <c r="D5882" s="12" t="str">
        <f>"1381-2890"</f>
        <v>1381-2890</v>
      </c>
      <c r="E5882" s="5">
        <v>2.1920000000000002</v>
      </c>
      <c r="F5882" s="5">
        <v>0.4</v>
      </c>
    </row>
    <row r="5883" spans="2:6" x14ac:dyDescent="0.2">
      <c r="B5883" s="9" t="s">
        <v>11952</v>
      </c>
      <c r="C5883" s="15" t="s">
        <v>11953</v>
      </c>
      <c r="D5883" s="12" t="str">
        <f>"1864-9335"</f>
        <v>1864-9335</v>
      </c>
      <c r="E5883" s="5">
        <v>2.4729999999999999</v>
      </c>
      <c r="F5883" s="5">
        <v>0.42199999999999999</v>
      </c>
    </row>
    <row r="5884" spans="2:6" x14ac:dyDescent="0.2">
      <c r="B5884" s="9" t="s">
        <v>11954</v>
      </c>
      <c r="C5884" s="15" t="s">
        <v>11955</v>
      </c>
      <c r="D5884" s="12" t="str">
        <f>"1948-5506"</f>
        <v>1948-5506</v>
      </c>
      <c r="E5884" s="5">
        <v>4.4509999999999996</v>
      </c>
      <c r="F5884" s="5">
        <v>0.85899999999999999</v>
      </c>
    </row>
    <row r="5885" spans="2:6" x14ac:dyDescent="0.2">
      <c r="B5885" s="9" t="s">
        <v>170</v>
      </c>
      <c r="C5885" s="15" t="s">
        <v>171</v>
      </c>
      <c r="D5885" s="12" t="str">
        <f>"0190-2725"</f>
        <v>0190-2725</v>
      </c>
      <c r="E5885" s="5">
        <v>1.7569999999999999</v>
      </c>
      <c r="F5885" s="5">
        <v>0.23400000000000001</v>
      </c>
    </row>
    <row r="5886" spans="2:6" x14ac:dyDescent="0.2">
      <c r="B5886" s="9" t="s">
        <v>168</v>
      </c>
      <c r="C5886" s="15" t="s">
        <v>169</v>
      </c>
      <c r="D5886" s="12" t="str">
        <f>"0933-7954"</f>
        <v>0933-7954</v>
      </c>
      <c r="E5886" s="5">
        <v>4.3280000000000003</v>
      </c>
      <c r="F5886" s="5">
        <v>0.73599999999999999</v>
      </c>
    </row>
    <row r="5887" spans="2:6" x14ac:dyDescent="0.2">
      <c r="B5887" s="9" t="s">
        <v>11956</v>
      </c>
      <c r="C5887" s="15" t="s">
        <v>11957</v>
      </c>
      <c r="D5887" s="12" t="str">
        <f>"0037-783X"</f>
        <v>0037-783X</v>
      </c>
      <c r="E5887" s="5">
        <v>0.64300000000000002</v>
      </c>
      <c r="F5887" s="5">
        <v>0.17399999999999999</v>
      </c>
    </row>
    <row r="5888" spans="2:6" x14ac:dyDescent="0.2">
      <c r="B5888" s="9" t="s">
        <v>172</v>
      </c>
      <c r="C5888" s="15" t="s">
        <v>173</v>
      </c>
      <c r="D5888" s="12" t="str">
        <f>"0894-4393"</f>
        <v>0894-4393</v>
      </c>
      <c r="E5888" s="5">
        <v>4.5780000000000003</v>
      </c>
      <c r="F5888" s="5">
        <v>0.93600000000000005</v>
      </c>
    </row>
    <row r="5889" spans="2:6" x14ac:dyDescent="0.2">
      <c r="B5889" s="9" t="s">
        <v>174</v>
      </c>
      <c r="C5889" s="15" t="s">
        <v>175</v>
      </c>
      <c r="D5889" s="12" t="str">
        <f>"0539-0184"</f>
        <v>0539-0184</v>
      </c>
      <c r="E5889" s="5">
        <v>0.71399999999999997</v>
      </c>
      <c r="F5889" s="5">
        <v>0.193</v>
      </c>
    </row>
    <row r="5890" spans="2:6" x14ac:dyDescent="0.2">
      <c r="B5890" s="9" t="s">
        <v>176</v>
      </c>
      <c r="C5890" s="15" t="s">
        <v>11958</v>
      </c>
      <c r="D5890" s="12" t="str">
        <f>"0362-3319"</f>
        <v>0362-3319</v>
      </c>
      <c r="E5890" s="5">
        <v>2.3759999999999999</v>
      </c>
      <c r="F5890" s="5">
        <v>0.64200000000000002</v>
      </c>
    </row>
    <row r="5891" spans="2:6" x14ac:dyDescent="0.2">
      <c r="B5891" s="9" t="s">
        <v>11959</v>
      </c>
      <c r="C5891" s="15" t="s">
        <v>11960</v>
      </c>
      <c r="D5891" s="12" t="str">
        <f>"1369-1465"</f>
        <v>1369-1465</v>
      </c>
      <c r="E5891" s="5">
        <v>1.1539999999999999</v>
      </c>
      <c r="F5891" s="5">
        <v>0.52500000000000002</v>
      </c>
    </row>
    <row r="5892" spans="2:6" x14ac:dyDescent="0.2">
      <c r="B5892" s="9" t="s">
        <v>177</v>
      </c>
      <c r="C5892" s="15" t="s">
        <v>178</v>
      </c>
      <c r="D5892" s="12" t="str">
        <f>"0277-9536"</f>
        <v>0277-9536</v>
      </c>
      <c r="E5892" s="5">
        <v>4.6340000000000003</v>
      </c>
      <c r="F5892" s="5">
        <v>0.95499999999999996</v>
      </c>
    </row>
    <row r="5893" spans="2:6" x14ac:dyDescent="0.2">
      <c r="B5893" s="9" t="s">
        <v>179</v>
      </c>
      <c r="C5893" s="15" t="s">
        <v>180</v>
      </c>
      <c r="D5893" s="12" t="str">
        <f>"0038-4941"</f>
        <v>0038-4941</v>
      </c>
      <c r="E5893" s="5">
        <v>1.1759999999999999</v>
      </c>
      <c r="F5893" s="5">
        <v>0.28199999999999997</v>
      </c>
    </row>
    <row r="5894" spans="2:6" x14ac:dyDescent="0.2">
      <c r="B5894" s="9" t="s">
        <v>181</v>
      </c>
      <c r="C5894" s="15" t="s">
        <v>182</v>
      </c>
      <c r="D5894" s="12" t="str">
        <f>"0049-089X"</f>
        <v>0049-089X</v>
      </c>
      <c r="E5894" s="5">
        <v>2.3220000000000001</v>
      </c>
      <c r="F5894" s="5">
        <v>0.59699999999999998</v>
      </c>
    </row>
    <row r="5895" spans="2:6" x14ac:dyDescent="0.2">
      <c r="B5895" s="9" t="s">
        <v>6699</v>
      </c>
      <c r="C5895" s="15" t="s">
        <v>2809</v>
      </c>
      <c r="D5895" s="12" t="str">
        <f>"0306-3127"</f>
        <v>0306-3127</v>
      </c>
      <c r="E5895" s="5">
        <v>3.8849999999999998</v>
      </c>
      <c r="F5895" s="5">
        <v>0.97299999999999998</v>
      </c>
    </row>
    <row r="5896" spans="2:6" x14ac:dyDescent="0.2">
      <c r="B5896" s="9" t="s">
        <v>11961</v>
      </c>
      <c r="C5896" s="15" t="s">
        <v>11962</v>
      </c>
      <c r="D5896" s="12" t="str">
        <f>"1477-8211"</f>
        <v>1477-8211</v>
      </c>
      <c r="E5896" s="5">
        <v>2.3199999999999998</v>
      </c>
      <c r="F5896" s="5">
        <v>0.54500000000000004</v>
      </c>
    </row>
    <row r="5897" spans="2:6" x14ac:dyDescent="0.2">
      <c r="B5897" s="9" t="s">
        <v>11963</v>
      </c>
      <c r="C5897" s="15" t="s">
        <v>11964</v>
      </c>
      <c r="D5897" s="12" t="str">
        <f>"1937-1918"</f>
        <v>1937-1918</v>
      </c>
      <c r="E5897" s="5">
        <v>1.1279999999999999</v>
      </c>
      <c r="F5897" s="5">
        <v>0.114</v>
      </c>
    </row>
    <row r="5898" spans="2:6" x14ac:dyDescent="0.2">
      <c r="B5898" s="9" t="s">
        <v>186</v>
      </c>
      <c r="C5898" s="15" t="s">
        <v>187</v>
      </c>
      <c r="D5898" s="12" t="str">
        <f>"1432-7643"</f>
        <v>1432-7643</v>
      </c>
      <c r="E5898" s="5">
        <v>3.6429999999999998</v>
      </c>
      <c r="F5898" s="5">
        <v>0.65500000000000003</v>
      </c>
    </row>
    <row r="5899" spans="2:6" x14ac:dyDescent="0.2">
      <c r="B5899" s="9" t="s">
        <v>11965</v>
      </c>
      <c r="C5899" s="15" t="s">
        <v>11966</v>
      </c>
      <c r="D5899" s="12" t="str">
        <f>"0361-5219"</f>
        <v>0361-5219</v>
      </c>
      <c r="E5899" s="5">
        <v>0.93700000000000006</v>
      </c>
      <c r="F5899" s="5">
        <v>0.17499999999999999</v>
      </c>
    </row>
    <row r="5900" spans="2:6" x14ac:dyDescent="0.2">
      <c r="B5900" s="9" t="s">
        <v>6701</v>
      </c>
      <c r="C5900" s="15" t="s">
        <v>2811</v>
      </c>
      <c r="D5900" s="12" t="str">
        <f>"0736-6299"</f>
        <v>0736-6299</v>
      </c>
      <c r="E5900" s="5">
        <v>2.5129999999999999</v>
      </c>
      <c r="F5900" s="5">
        <v>0.42099999999999999</v>
      </c>
    </row>
    <row r="5901" spans="2:6" x14ac:dyDescent="0.2">
      <c r="B5901" s="9" t="s">
        <v>6702</v>
      </c>
      <c r="C5901" s="15" t="s">
        <v>2812</v>
      </c>
      <c r="D5901" s="12" t="str">
        <f>"1341-7215"</f>
        <v>1341-7215</v>
      </c>
      <c r="E5901" s="5">
        <v>0.76</v>
      </c>
      <c r="F5901" s="5">
        <v>0.14000000000000001</v>
      </c>
    </row>
    <row r="5902" spans="2:6" x14ac:dyDescent="0.2">
      <c r="B5902" s="9" t="s">
        <v>6703</v>
      </c>
      <c r="C5902" s="15" t="s">
        <v>2813</v>
      </c>
      <c r="D5902" s="12" t="str">
        <f>"0899-0220"</f>
        <v>0899-0220</v>
      </c>
      <c r="E5902" s="5">
        <v>1.111</v>
      </c>
      <c r="F5902" s="5">
        <v>4.3999999999999997E-2</v>
      </c>
    </row>
    <row r="5903" spans="2:6" x14ac:dyDescent="0.2">
      <c r="B5903" s="9" t="s">
        <v>188</v>
      </c>
      <c r="C5903" s="15" t="s">
        <v>189</v>
      </c>
      <c r="D5903" s="12" t="str">
        <f>"1696-2281"</f>
        <v>1696-2281</v>
      </c>
      <c r="E5903" s="5">
        <v>1.1850000000000001</v>
      </c>
      <c r="F5903" s="5">
        <v>0.36799999999999999</v>
      </c>
    </row>
    <row r="5904" spans="2:6" x14ac:dyDescent="0.2">
      <c r="B5904" s="9" t="s">
        <v>6704</v>
      </c>
      <c r="C5904" s="15" t="s">
        <v>2814</v>
      </c>
      <c r="D5904" s="12" t="str">
        <f>"0038-4348"</f>
        <v>0038-4348</v>
      </c>
      <c r="E5904" s="5">
        <v>0.95399999999999996</v>
      </c>
      <c r="F5904" s="5">
        <v>0.186</v>
      </c>
    </row>
    <row r="5905" spans="2:6" x14ac:dyDescent="0.2">
      <c r="B5905" s="9" t="s">
        <v>190</v>
      </c>
      <c r="C5905" s="15" t="s">
        <v>190</v>
      </c>
      <c r="D5905" s="12" t="str">
        <f>"0265-9646"</f>
        <v>0265-9646</v>
      </c>
      <c r="E5905" s="5">
        <v>1.2310000000000001</v>
      </c>
      <c r="F5905" s="5">
        <v>0.27500000000000002</v>
      </c>
    </row>
    <row r="5906" spans="2:6" x14ac:dyDescent="0.2">
      <c r="B5906" s="9" t="s">
        <v>191</v>
      </c>
      <c r="C5906" s="15" t="s">
        <v>192</v>
      </c>
      <c r="D5906" s="12" t="str">
        <f>"1138-7416"</f>
        <v>1138-7416</v>
      </c>
      <c r="E5906" s="5">
        <v>1.264</v>
      </c>
      <c r="F5906" s="5">
        <v>0.252</v>
      </c>
    </row>
    <row r="5907" spans="2:6" x14ac:dyDescent="0.2">
      <c r="B5907" s="9" t="s">
        <v>11967</v>
      </c>
      <c r="C5907" s="15" t="s">
        <v>11968</v>
      </c>
      <c r="D5907" s="12" t="str">
        <f>"1387-5868"</f>
        <v>1387-5868</v>
      </c>
      <c r="E5907" s="5">
        <v>0.88900000000000001</v>
      </c>
      <c r="F5907" s="5">
        <v>4.3999999999999997E-2</v>
      </c>
    </row>
    <row r="5908" spans="2:6" x14ac:dyDescent="0.2">
      <c r="B5908" s="9" t="s">
        <v>11969</v>
      </c>
      <c r="C5908" s="15" t="s">
        <v>11970</v>
      </c>
      <c r="D5908" s="12" t="str">
        <f>"2211-6753"</f>
        <v>2211-6753</v>
      </c>
      <c r="E5908" s="5">
        <v>2.06</v>
      </c>
      <c r="F5908" s="5">
        <v>0.65600000000000003</v>
      </c>
    </row>
    <row r="5909" spans="2:6" x14ac:dyDescent="0.2">
      <c r="B5909" s="9" t="s">
        <v>7807</v>
      </c>
      <c r="C5909" s="15" t="s">
        <v>2815</v>
      </c>
      <c r="D5909" s="12" t="str">
        <f>"0167-6393"</f>
        <v>0167-6393</v>
      </c>
      <c r="E5909" s="5">
        <v>2.0169999999999999</v>
      </c>
      <c r="F5909" s="5">
        <v>0.58099999999999996</v>
      </c>
    </row>
    <row r="5910" spans="2:6" x14ac:dyDescent="0.2">
      <c r="B5910" s="9" t="s">
        <v>7808</v>
      </c>
      <c r="C5910" s="15" t="s">
        <v>7808</v>
      </c>
      <c r="D5910" s="12" t="str">
        <f>"1476-5624"</f>
        <v>1476-5624</v>
      </c>
      <c r="E5910" s="5">
        <v>2.7719999999999998</v>
      </c>
      <c r="F5910" s="5">
        <v>0.73899999999999999</v>
      </c>
    </row>
    <row r="5911" spans="2:6" x14ac:dyDescent="0.2">
      <c r="B5911" s="9" t="s">
        <v>7809</v>
      </c>
      <c r="C5911" s="15" t="s">
        <v>7809</v>
      </c>
      <c r="D5911" s="12" t="str">
        <f>"0362-2436"</f>
        <v>0362-2436</v>
      </c>
      <c r="E5911" s="5">
        <v>3.468</v>
      </c>
      <c r="F5911" s="5">
        <v>0.76500000000000001</v>
      </c>
    </row>
    <row r="5912" spans="2:6" x14ac:dyDescent="0.2">
      <c r="B5912" s="9" t="s">
        <v>11971</v>
      </c>
      <c r="C5912" s="15" t="s">
        <v>11972</v>
      </c>
      <c r="D5912" s="12" t="str">
        <f>"2165-7939"</f>
        <v>2165-7939</v>
      </c>
      <c r="E5912" s="5">
        <v>4.1660000000000004</v>
      </c>
      <c r="F5912" s="5">
        <v>0.82699999999999996</v>
      </c>
    </row>
    <row r="5913" spans="2:6" x14ac:dyDescent="0.2">
      <c r="B5913" s="9" t="s">
        <v>193</v>
      </c>
      <c r="C5913" s="15" t="s">
        <v>194</v>
      </c>
      <c r="D5913" s="12" t="str">
        <f>"1476-3141"</f>
        <v>1476-3141</v>
      </c>
      <c r="E5913" s="5">
        <v>2.8319999999999999</v>
      </c>
      <c r="F5913" s="5">
        <v>0.53400000000000003</v>
      </c>
    </row>
    <row r="5914" spans="2:6" x14ac:dyDescent="0.2">
      <c r="B5914" s="9" t="s">
        <v>7810</v>
      </c>
      <c r="C5914" s="15" t="s">
        <v>2816</v>
      </c>
      <c r="D5914" s="12" t="str">
        <f>"1357-3322"</f>
        <v>1357-3322</v>
      </c>
      <c r="E5914" s="5">
        <v>4.1189999999999998</v>
      </c>
      <c r="F5914" s="5">
        <v>0.85199999999999998</v>
      </c>
    </row>
    <row r="5915" spans="2:6" x14ac:dyDescent="0.2">
      <c r="B5915" s="9" t="s">
        <v>11973</v>
      </c>
      <c r="C5915" s="15" t="s">
        <v>11974</v>
      </c>
      <c r="D5915" s="12" t="str">
        <f>"2157-3905"</f>
        <v>2157-3905</v>
      </c>
      <c r="E5915" s="5">
        <v>4.25</v>
      </c>
      <c r="F5915" s="5">
        <v>0.75900000000000001</v>
      </c>
    </row>
    <row r="5916" spans="2:6" x14ac:dyDescent="0.2">
      <c r="B5916" s="9" t="s">
        <v>7811</v>
      </c>
      <c r="C5916" s="15" t="s">
        <v>2817</v>
      </c>
      <c r="D5916" s="12" t="str">
        <f>"0888-4781"</f>
        <v>0888-4781</v>
      </c>
      <c r="E5916" s="5">
        <v>1.4530000000000001</v>
      </c>
      <c r="F5916" s="5">
        <v>0.182</v>
      </c>
    </row>
    <row r="5917" spans="2:6" x14ac:dyDescent="0.2">
      <c r="B5917" s="9" t="s">
        <v>11975</v>
      </c>
      <c r="C5917" s="15" t="s">
        <v>11976</v>
      </c>
      <c r="D5917" s="12" t="str">
        <f>"1941-7381"</f>
        <v>1941-7381</v>
      </c>
      <c r="E5917" s="5">
        <v>3.843</v>
      </c>
      <c r="F5917" s="5">
        <v>0.73899999999999999</v>
      </c>
    </row>
    <row r="5918" spans="2:6" x14ac:dyDescent="0.2">
      <c r="B5918" s="9" t="s">
        <v>7812</v>
      </c>
      <c r="C5918" s="15" t="s">
        <v>2818</v>
      </c>
      <c r="D5918" s="12" t="str">
        <f>"1179-2035"</f>
        <v>1179-2035</v>
      </c>
      <c r="E5918" s="5">
        <v>11.135999999999999</v>
      </c>
      <c r="F5918" s="5">
        <v>0.98899999999999999</v>
      </c>
    </row>
    <row r="5919" spans="2:6" x14ac:dyDescent="0.2">
      <c r="B5919" s="9" t="s">
        <v>7813</v>
      </c>
      <c r="C5919" s="15" t="s">
        <v>2819</v>
      </c>
      <c r="D5919" s="12" t="str">
        <f>"1062-8592"</f>
        <v>1062-8592</v>
      </c>
      <c r="E5919" s="5">
        <v>1.9850000000000001</v>
      </c>
      <c r="F5919" s="5">
        <v>0.29499999999999998</v>
      </c>
    </row>
    <row r="5920" spans="2:6" x14ac:dyDescent="0.2">
      <c r="B5920" s="9" t="s">
        <v>11977</v>
      </c>
      <c r="C5920" s="15" t="s">
        <v>11978</v>
      </c>
      <c r="D5920" s="12" t="str">
        <f>"2199-1170"</f>
        <v>2199-1170</v>
      </c>
      <c r="E5920" s="5">
        <v>4.83</v>
      </c>
      <c r="F5920" s="5">
        <v>0.89800000000000002</v>
      </c>
    </row>
    <row r="5921" spans="2:6" x14ac:dyDescent="0.2">
      <c r="B5921" s="9" t="s">
        <v>7814</v>
      </c>
      <c r="C5921" s="15" t="s">
        <v>2820</v>
      </c>
      <c r="D5921" s="12" t="str">
        <f>"0932-0555"</f>
        <v>0932-0555</v>
      </c>
      <c r="E5921" s="5">
        <v>1.077</v>
      </c>
      <c r="F5921" s="5">
        <v>0.123</v>
      </c>
    </row>
    <row r="5922" spans="2:6" x14ac:dyDescent="0.2">
      <c r="B5922" s="9" t="s">
        <v>11979</v>
      </c>
      <c r="C5922" s="15" t="s">
        <v>11980</v>
      </c>
      <c r="D5922" s="12" t="str">
        <f>"0370-8179"</f>
        <v>0370-8179</v>
      </c>
      <c r="E5922" s="5">
        <v>0.20699999999999999</v>
      </c>
      <c r="F5922" s="5">
        <v>0.03</v>
      </c>
    </row>
    <row r="5923" spans="2:6" x14ac:dyDescent="0.2">
      <c r="B5923" s="9" t="s">
        <v>199</v>
      </c>
      <c r="C5923" s="15" t="s">
        <v>200</v>
      </c>
      <c r="D5923" s="12" t="str">
        <f>"1536-867X"</f>
        <v>1536-867X</v>
      </c>
      <c r="E5923" s="5">
        <v>2.637</v>
      </c>
      <c r="F5923" s="5">
        <v>0.80800000000000005</v>
      </c>
    </row>
    <row r="5924" spans="2:6" x14ac:dyDescent="0.2">
      <c r="B5924" s="9" t="s">
        <v>11981</v>
      </c>
      <c r="C5924" s="15" t="s">
        <v>11982</v>
      </c>
      <c r="D5924" s="12" t="str">
        <f>"1932-1864"</f>
        <v>1932-1864</v>
      </c>
      <c r="E5924" s="5">
        <v>1.0509999999999999</v>
      </c>
      <c r="F5924" s="5">
        <v>0.28000000000000003</v>
      </c>
    </row>
    <row r="5925" spans="2:6" x14ac:dyDescent="0.2">
      <c r="B5925" s="9" t="s">
        <v>195</v>
      </c>
      <c r="C5925" s="15" t="s">
        <v>196</v>
      </c>
      <c r="D5925" s="12" t="str">
        <f>"2194-6302"</f>
        <v>2194-6302</v>
      </c>
      <c r="E5925" s="5">
        <v>0.41899999999999998</v>
      </c>
      <c r="F5925" s="5">
        <v>2.4E-2</v>
      </c>
    </row>
    <row r="5926" spans="2:6" x14ac:dyDescent="0.2">
      <c r="B5926" s="9" t="s">
        <v>11983</v>
      </c>
      <c r="C5926" s="15" t="s">
        <v>11984</v>
      </c>
      <c r="D5926" s="12" t="str">
        <f>"1946-6315"</f>
        <v>1946-6315</v>
      </c>
      <c r="E5926" s="5">
        <v>1.452</v>
      </c>
      <c r="F5926" s="5">
        <v>0.48</v>
      </c>
    </row>
    <row r="5927" spans="2:6" x14ac:dyDescent="0.2">
      <c r="B5927" s="9" t="s">
        <v>7815</v>
      </c>
      <c r="C5927" s="15" t="s">
        <v>2821</v>
      </c>
      <c r="D5927" s="12" t="str">
        <f>"0960-3174"</f>
        <v>0960-3174</v>
      </c>
      <c r="E5927" s="5">
        <v>2.5590000000000002</v>
      </c>
      <c r="F5927" s="5">
        <v>0.79200000000000004</v>
      </c>
    </row>
    <row r="5928" spans="2:6" x14ac:dyDescent="0.2">
      <c r="B5928" s="9" t="s">
        <v>11985</v>
      </c>
      <c r="C5928" s="15" t="s">
        <v>7824</v>
      </c>
      <c r="D5928" s="12" t="str">
        <f>"0233-1888"</f>
        <v>0233-1888</v>
      </c>
      <c r="E5928" s="5">
        <v>1.0509999999999999</v>
      </c>
      <c r="F5928" s="5">
        <v>0.28000000000000003</v>
      </c>
    </row>
    <row r="5929" spans="2:6" x14ac:dyDescent="0.2">
      <c r="B5929" s="9" t="s">
        <v>7816</v>
      </c>
      <c r="C5929" s="15" t="s">
        <v>2822</v>
      </c>
      <c r="D5929" s="12" t="str">
        <f>"0277-6715"</f>
        <v>0277-6715</v>
      </c>
      <c r="E5929" s="5">
        <v>2.3730000000000002</v>
      </c>
      <c r="F5929" s="5">
        <v>0.73599999999999999</v>
      </c>
    </row>
    <row r="5930" spans="2:6" x14ac:dyDescent="0.2">
      <c r="B5930" s="9" t="s">
        <v>197</v>
      </c>
      <c r="C5930" s="15" t="s">
        <v>198</v>
      </c>
      <c r="D5930" s="12" t="str">
        <f>"1618-2510"</f>
        <v>1618-2510</v>
      </c>
      <c r="E5930" s="5">
        <v>1.3140000000000001</v>
      </c>
      <c r="F5930" s="5">
        <v>0.42399999999999999</v>
      </c>
    </row>
    <row r="5931" spans="2:6" x14ac:dyDescent="0.2">
      <c r="B5931" s="9" t="s">
        <v>7817</v>
      </c>
      <c r="C5931" s="15" t="s">
        <v>2823</v>
      </c>
      <c r="D5931" s="12" t="str">
        <f>"0962-2802"</f>
        <v>0962-2802</v>
      </c>
      <c r="E5931" s="5">
        <v>3.0209999999999999</v>
      </c>
      <c r="F5931" s="5">
        <v>0.83199999999999996</v>
      </c>
    </row>
    <row r="5932" spans="2:6" x14ac:dyDescent="0.2">
      <c r="B5932" s="9" t="s">
        <v>7818</v>
      </c>
      <c r="C5932" s="15" t="s">
        <v>2824</v>
      </c>
      <c r="D5932" s="12" t="str">
        <f>"1471-082X"</f>
        <v>1471-082X</v>
      </c>
      <c r="E5932" s="5">
        <v>2.0390000000000001</v>
      </c>
      <c r="F5932" s="5">
        <v>0.64800000000000002</v>
      </c>
    </row>
    <row r="5933" spans="2:6" x14ac:dyDescent="0.2">
      <c r="B5933" s="9" t="s">
        <v>7819</v>
      </c>
      <c r="C5933" s="15" t="s">
        <v>2825</v>
      </c>
      <c r="D5933" s="12" t="str">
        <f>"0039-0402"</f>
        <v>0039-0402</v>
      </c>
      <c r="E5933" s="5">
        <v>1.19</v>
      </c>
      <c r="F5933" s="5">
        <v>0.376</v>
      </c>
    </row>
    <row r="5934" spans="2:6" x14ac:dyDescent="0.2">
      <c r="B5934" s="9" t="s">
        <v>7820</v>
      </c>
      <c r="C5934" s="15" t="s">
        <v>2826</v>
      </c>
      <c r="D5934" s="12" t="str">
        <f>"0932-5026"</f>
        <v>0932-5026</v>
      </c>
      <c r="E5934" s="5">
        <v>2.234</v>
      </c>
      <c r="F5934" s="5">
        <v>0.71199999999999997</v>
      </c>
    </row>
    <row r="5935" spans="2:6" x14ac:dyDescent="0.2">
      <c r="B5935" s="9" t="s">
        <v>7821</v>
      </c>
      <c r="C5935" s="15" t="s">
        <v>2827</v>
      </c>
      <c r="D5935" s="12" t="str">
        <f>"0167-7152"</f>
        <v>0167-7152</v>
      </c>
      <c r="E5935" s="5">
        <v>0.87</v>
      </c>
      <c r="F5935" s="5">
        <v>0.13600000000000001</v>
      </c>
    </row>
    <row r="5936" spans="2:6" x14ac:dyDescent="0.2">
      <c r="B5936" s="9" t="s">
        <v>7822</v>
      </c>
      <c r="C5936" s="15" t="s">
        <v>2828</v>
      </c>
      <c r="D5936" s="12" t="str">
        <f>"0883-4237"</f>
        <v>0883-4237</v>
      </c>
      <c r="E5936" s="5">
        <v>2.9009999999999998</v>
      </c>
      <c r="F5936" s="5">
        <v>0.81599999999999995</v>
      </c>
    </row>
    <row r="5937" spans="2:6" x14ac:dyDescent="0.2">
      <c r="B5937" s="9" t="s">
        <v>7823</v>
      </c>
      <c r="C5937" s="15" t="s">
        <v>2829</v>
      </c>
      <c r="D5937" s="12" t="str">
        <f>"1017-0405"</f>
        <v>1017-0405</v>
      </c>
      <c r="E5937" s="5">
        <v>1.2609999999999999</v>
      </c>
      <c r="F5937" s="5">
        <v>0.4</v>
      </c>
    </row>
    <row r="5938" spans="2:6" x14ac:dyDescent="0.2">
      <c r="B5938" s="9" t="s">
        <v>11986</v>
      </c>
      <c r="C5938" s="15" t="s">
        <v>11987</v>
      </c>
      <c r="D5938" s="12" t="str">
        <f>"2049-1573"</f>
        <v>2049-1573</v>
      </c>
      <c r="E5938" s="5">
        <v>0.91700000000000004</v>
      </c>
      <c r="F5938" s="5">
        <v>0.16800000000000001</v>
      </c>
    </row>
    <row r="5939" spans="2:6" x14ac:dyDescent="0.2">
      <c r="B5939" s="9" t="s">
        <v>11988</v>
      </c>
      <c r="C5939" s="15" t="s">
        <v>11989</v>
      </c>
      <c r="D5939" s="12" t="str">
        <f>"2213-6711"</f>
        <v>2213-6711</v>
      </c>
      <c r="E5939" s="5">
        <v>7.7649999999999997</v>
      </c>
      <c r="F5939" s="5">
        <v>0.85199999999999998</v>
      </c>
    </row>
    <row r="5940" spans="2:6" x14ac:dyDescent="0.2">
      <c r="B5940" s="9" t="s">
        <v>11990</v>
      </c>
      <c r="C5940" s="15" t="s">
        <v>11991</v>
      </c>
      <c r="D5940" s="12" t="str">
        <f>"1873-5061"</f>
        <v>1873-5061</v>
      </c>
      <c r="E5940" s="5">
        <v>2.02</v>
      </c>
      <c r="F5940" s="5">
        <v>0.184</v>
      </c>
    </row>
    <row r="5941" spans="2:6" x14ac:dyDescent="0.2">
      <c r="B5941" s="9" t="s">
        <v>11992</v>
      </c>
      <c r="C5941" s="15" t="s">
        <v>11993</v>
      </c>
      <c r="D5941" s="12" t="str">
        <f>"1757-6512"</f>
        <v>1757-6512</v>
      </c>
      <c r="E5941" s="5">
        <v>6.8319999999999999</v>
      </c>
      <c r="F5941" s="5">
        <v>0.83599999999999997</v>
      </c>
    </row>
    <row r="5942" spans="2:6" x14ac:dyDescent="0.2">
      <c r="B5942" s="9" t="s">
        <v>11994</v>
      </c>
      <c r="C5942" s="15" t="s">
        <v>11995</v>
      </c>
      <c r="D5942" s="12" t="str">
        <f>"2629-3269"</f>
        <v>2629-3269</v>
      </c>
      <c r="E5942" s="5">
        <v>5.7389999999999999</v>
      </c>
      <c r="F5942" s="5">
        <v>0.75</v>
      </c>
    </row>
    <row r="5943" spans="2:6" x14ac:dyDescent="0.2">
      <c r="B5943" s="9" t="s">
        <v>7825</v>
      </c>
      <c r="C5943" s="15" t="s">
        <v>7825</v>
      </c>
      <c r="D5943" s="12" t="str">
        <f>"1066-5099"</f>
        <v>1066-5099</v>
      </c>
      <c r="E5943" s="5">
        <v>6.2770000000000001</v>
      </c>
      <c r="F5943" s="5">
        <v>0.88600000000000001</v>
      </c>
    </row>
    <row r="5944" spans="2:6" x14ac:dyDescent="0.2">
      <c r="B5944" s="9" t="s">
        <v>7826</v>
      </c>
      <c r="C5944" s="15" t="s">
        <v>2830</v>
      </c>
      <c r="D5944" s="12" t="str">
        <f>"1547-3287"</f>
        <v>1547-3287</v>
      </c>
      <c r="E5944" s="5">
        <v>3.2719999999999998</v>
      </c>
      <c r="F5944" s="5">
        <v>0.56000000000000005</v>
      </c>
    </row>
    <row r="5945" spans="2:6" x14ac:dyDescent="0.2">
      <c r="B5945" s="9" t="s">
        <v>7827</v>
      </c>
      <c r="C5945" s="15" t="s">
        <v>2831</v>
      </c>
      <c r="D5945" s="12" t="str">
        <f>"1011-6125"</f>
        <v>1011-6125</v>
      </c>
      <c r="E5945" s="5">
        <v>1.875</v>
      </c>
      <c r="F5945" s="5">
        <v>0.32900000000000001</v>
      </c>
    </row>
    <row r="5946" spans="2:6" x14ac:dyDescent="0.2">
      <c r="B5946" s="9" t="s">
        <v>7828</v>
      </c>
      <c r="C5946" s="15" t="s">
        <v>7828</v>
      </c>
      <c r="D5946" s="12" t="str">
        <f>"0039-128X"</f>
        <v>0039-128X</v>
      </c>
      <c r="E5946" s="5">
        <v>2.6680000000000001</v>
      </c>
      <c r="F5946" s="5">
        <v>0.26700000000000002</v>
      </c>
    </row>
    <row r="5947" spans="2:6" x14ac:dyDescent="0.2">
      <c r="B5947" s="9" t="s">
        <v>7829</v>
      </c>
      <c r="C5947" s="15" t="s">
        <v>2832</v>
      </c>
      <c r="D5947" s="12" t="str">
        <f>"0736-2994"</f>
        <v>0736-2994</v>
      </c>
      <c r="E5947" s="5">
        <v>1.53</v>
      </c>
      <c r="F5947" s="5">
        <v>0.57699999999999996</v>
      </c>
    </row>
    <row r="5948" spans="2:6" x14ac:dyDescent="0.2">
      <c r="B5948" s="9" t="s">
        <v>11996</v>
      </c>
      <c r="C5948" s="15" t="s">
        <v>11997</v>
      </c>
      <c r="D5948" s="12" t="str">
        <f>"1744-2508"</f>
        <v>1744-2508</v>
      </c>
      <c r="E5948" s="5">
        <v>0.93500000000000005</v>
      </c>
      <c r="F5948" s="5">
        <v>0.25700000000000001</v>
      </c>
    </row>
    <row r="5949" spans="2:6" x14ac:dyDescent="0.2">
      <c r="B5949" s="9" t="s">
        <v>201</v>
      </c>
      <c r="C5949" s="15" t="s">
        <v>202</v>
      </c>
      <c r="D5949" s="12" t="str">
        <f>"0219-4937"</f>
        <v>0219-4937</v>
      </c>
      <c r="E5949" s="5">
        <v>0.98</v>
      </c>
      <c r="F5949" s="5">
        <v>0.224</v>
      </c>
    </row>
    <row r="5950" spans="2:6" x14ac:dyDescent="0.2">
      <c r="B5950" s="9" t="s">
        <v>7830</v>
      </c>
      <c r="C5950" s="15" t="s">
        <v>2833</v>
      </c>
      <c r="D5950" s="12" t="str">
        <f>"1436-3240"</f>
        <v>1436-3240</v>
      </c>
      <c r="E5950" s="5">
        <v>3.379</v>
      </c>
      <c r="F5950" s="5">
        <v>0.86399999999999999</v>
      </c>
    </row>
    <row r="5951" spans="2:6" x14ac:dyDescent="0.2">
      <c r="B5951" s="9" t="s">
        <v>7831</v>
      </c>
      <c r="C5951" s="15" t="s">
        <v>2834</v>
      </c>
      <c r="D5951" s="12" t="str">
        <f>"1532-6349"</f>
        <v>1532-6349</v>
      </c>
      <c r="E5951" s="5">
        <v>0.65200000000000002</v>
      </c>
      <c r="F5951" s="5">
        <v>6.4000000000000001E-2</v>
      </c>
    </row>
    <row r="5952" spans="2:6" x14ac:dyDescent="0.2">
      <c r="B5952" s="9" t="s">
        <v>11998</v>
      </c>
      <c r="C5952" s="15" t="s">
        <v>11999</v>
      </c>
      <c r="D5952" s="12" t="str">
        <f>"2194-0401"</f>
        <v>2194-0401</v>
      </c>
      <c r="E5952" s="5">
        <v>1.641</v>
      </c>
      <c r="F5952" s="5">
        <v>0.61099999999999999</v>
      </c>
    </row>
    <row r="5953" spans="2:6" x14ac:dyDescent="0.2">
      <c r="B5953" s="9" t="s">
        <v>7832</v>
      </c>
      <c r="C5953" s="15" t="s">
        <v>2835</v>
      </c>
      <c r="D5953" s="12" t="str">
        <f>"0304-4149"</f>
        <v>0304-4149</v>
      </c>
      <c r="E5953" s="5">
        <v>1.4670000000000001</v>
      </c>
      <c r="F5953" s="5">
        <v>0.48799999999999999</v>
      </c>
    </row>
    <row r="5954" spans="2:6" x14ac:dyDescent="0.2">
      <c r="B5954" s="9" t="s">
        <v>7833</v>
      </c>
      <c r="C5954" s="15" t="s">
        <v>2836</v>
      </c>
      <c r="D5954" s="12" t="str">
        <f>"0179-7158"</f>
        <v>0179-7158</v>
      </c>
      <c r="E5954" s="5">
        <v>3.621</v>
      </c>
      <c r="F5954" s="5">
        <v>0.67700000000000005</v>
      </c>
    </row>
    <row r="5955" spans="2:6" x14ac:dyDescent="0.2">
      <c r="B5955" s="9" t="s">
        <v>12000</v>
      </c>
      <c r="C5955" s="15" t="s">
        <v>12001</v>
      </c>
      <c r="D5955" s="12" t="str">
        <f>"1524-1602"</f>
        <v>1524-1602</v>
      </c>
      <c r="E5955" s="5">
        <v>2.1429999999999998</v>
      </c>
      <c r="F5955" s="5">
        <v>0.33</v>
      </c>
    </row>
    <row r="5956" spans="2:6" x14ac:dyDescent="0.2">
      <c r="B5956" s="9" t="s">
        <v>7834</v>
      </c>
      <c r="C5956" s="15" t="s">
        <v>2837</v>
      </c>
      <c r="D5956" s="12" t="str">
        <f>"1025-3890"</f>
        <v>1025-3890</v>
      </c>
      <c r="E5956" s="5">
        <v>3.4929999999999999</v>
      </c>
      <c r="F5956" s="5">
        <v>0.73599999999999999</v>
      </c>
    </row>
    <row r="5957" spans="2:6" x14ac:dyDescent="0.2">
      <c r="B5957" s="9" t="s">
        <v>7835</v>
      </c>
      <c r="C5957" s="15" t="s">
        <v>2838</v>
      </c>
      <c r="D5957" s="12" t="str">
        <f>"1532-3005"</f>
        <v>1532-3005</v>
      </c>
      <c r="E5957" s="5">
        <v>3.5190000000000001</v>
      </c>
      <c r="F5957" s="5">
        <v>0.753</v>
      </c>
    </row>
    <row r="5958" spans="2:6" x14ac:dyDescent="0.2">
      <c r="B5958" s="9" t="s">
        <v>7836</v>
      </c>
      <c r="C5958" s="15" t="s">
        <v>2839</v>
      </c>
      <c r="D5958" s="12" t="str">
        <f>"0039-2480"</f>
        <v>0039-2480</v>
      </c>
      <c r="E5958" s="5">
        <v>1.554</v>
      </c>
      <c r="F5958" s="5">
        <v>0.27100000000000002</v>
      </c>
    </row>
    <row r="5959" spans="2:6" x14ac:dyDescent="0.2">
      <c r="B5959" s="9" t="s">
        <v>7837</v>
      </c>
      <c r="C5959" s="15" t="s">
        <v>7837</v>
      </c>
      <c r="D5959" s="12" t="str">
        <f>"0039-2499"</f>
        <v>0039-2499</v>
      </c>
      <c r="E5959" s="5">
        <v>7.9139999999999997</v>
      </c>
      <c r="F5959" s="5">
        <v>0.92800000000000005</v>
      </c>
    </row>
    <row r="5960" spans="2:6" x14ac:dyDescent="0.2">
      <c r="B5960" s="9" t="s">
        <v>12002</v>
      </c>
      <c r="C5960" s="15" t="s">
        <v>12003</v>
      </c>
      <c r="D5960" s="12" t="str">
        <f>"2059-8688"</f>
        <v>2059-8688</v>
      </c>
      <c r="E5960" s="5">
        <v>4.0810000000000004</v>
      </c>
      <c r="F5960" s="5">
        <v>0.67800000000000005</v>
      </c>
    </row>
    <row r="5961" spans="2:6" x14ac:dyDescent="0.2">
      <c r="B5961" s="9" t="s">
        <v>7838</v>
      </c>
      <c r="C5961" s="15" t="s">
        <v>2840</v>
      </c>
      <c r="D5961" s="12" t="str">
        <f>"1040-0400"</f>
        <v>1040-0400</v>
      </c>
      <c r="E5961" s="5">
        <v>1.887</v>
      </c>
      <c r="F5961" s="5">
        <v>0.48</v>
      </c>
    </row>
    <row r="5962" spans="2:6" x14ac:dyDescent="0.2">
      <c r="B5962" s="9" t="s">
        <v>7839</v>
      </c>
      <c r="C5962" s="15" t="s">
        <v>2841</v>
      </c>
      <c r="D5962" s="12" t="str">
        <f>"1225-4568"</f>
        <v>1225-4568</v>
      </c>
      <c r="E5962" s="5">
        <v>3.524</v>
      </c>
      <c r="F5962" s="5">
        <v>0.74399999999999999</v>
      </c>
    </row>
    <row r="5963" spans="2:6" x14ac:dyDescent="0.2">
      <c r="B5963" s="9" t="s">
        <v>7840</v>
      </c>
      <c r="C5963" s="15" t="s">
        <v>2842</v>
      </c>
      <c r="D5963" s="12" t="str">
        <f>"1573-2479"</f>
        <v>1573-2479</v>
      </c>
      <c r="E5963" s="5">
        <v>3.0870000000000002</v>
      </c>
      <c r="F5963" s="5">
        <v>0.64700000000000002</v>
      </c>
    </row>
    <row r="5964" spans="2:6" x14ac:dyDescent="0.2">
      <c r="B5964" s="9" t="s">
        <v>203</v>
      </c>
      <c r="C5964" s="15" t="s">
        <v>204</v>
      </c>
      <c r="D5964" s="12" t="str">
        <f>"1615-147X"</f>
        <v>1615-147X</v>
      </c>
      <c r="E5964" s="5">
        <v>4.5419999999999998</v>
      </c>
      <c r="F5964" s="5">
        <v>0.874</v>
      </c>
    </row>
    <row r="5965" spans="2:6" x14ac:dyDescent="0.2">
      <c r="B5965" s="9" t="s">
        <v>7841</v>
      </c>
      <c r="C5965" s="15" t="s">
        <v>7841</v>
      </c>
      <c r="D5965" s="12" t="str">
        <f>"0969-2126"</f>
        <v>0969-2126</v>
      </c>
      <c r="E5965" s="5">
        <v>5.0060000000000002</v>
      </c>
      <c r="F5965" s="5">
        <v>0.83099999999999996</v>
      </c>
    </row>
    <row r="5966" spans="2:6" x14ac:dyDescent="0.2">
      <c r="B5966" s="9" t="s">
        <v>7842</v>
      </c>
      <c r="C5966" s="15" t="s">
        <v>2843</v>
      </c>
      <c r="D5966" s="12" t="str">
        <f>"0039-3630"</f>
        <v>0039-3630</v>
      </c>
      <c r="E5966" s="5">
        <v>0.73899999999999999</v>
      </c>
      <c r="F5966" s="5">
        <v>0.16200000000000001</v>
      </c>
    </row>
    <row r="5967" spans="2:6" x14ac:dyDescent="0.2">
      <c r="B5967" s="9" t="s">
        <v>12004</v>
      </c>
      <c r="C5967" s="15" t="s">
        <v>12005</v>
      </c>
      <c r="D5967" s="12" t="str">
        <f>"0191-491X"</f>
        <v>0191-491X</v>
      </c>
      <c r="E5967" s="5">
        <v>1.9530000000000001</v>
      </c>
      <c r="F5967" s="5">
        <v>0.375</v>
      </c>
    </row>
    <row r="5968" spans="2:6" x14ac:dyDescent="0.2">
      <c r="B5968" s="9" t="s">
        <v>205</v>
      </c>
      <c r="C5968" s="15" t="s">
        <v>206</v>
      </c>
      <c r="D5968" s="12" t="str">
        <f>"0039-3665"</f>
        <v>0039-3665</v>
      </c>
      <c r="E5968" s="5">
        <v>3.1110000000000002</v>
      </c>
      <c r="F5968" s="5">
        <v>0.75900000000000001</v>
      </c>
    </row>
    <row r="5969" spans="2:6" x14ac:dyDescent="0.2">
      <c r="B5969" s="9" t="s">
        <v>7843</v>
      </c>
      <c r="C5969" s="15" t="s">
        <v>2844</v>
      </c>
      <c r="D5969" s="12" t="str">
        <f>"1355-2198"</f>
        <v>1355-2198</v>
      </c>
      <c r="E5969" s="5">
        <v>1.663</v>
      </c>
      <c r="F5969" s="5">
        <v>0.77</v>
      </c>
    </row>
    <row r="5970" spans="2:6" x14ac:dyDescent="0.2">
      <c r="B5970" s="9" t="s">
        <v>7844</v>
      </c>
      <c r="C5970" s="15" t="s">
        <v>2845</v>
      </c>
      <c r="D5970" s="12" t="str">
        <f>"0039-3681"</f>
        <v>0039-3681</v>
      </c>
      <c r="E5970" s="5">
        <v>1.429</v>
      </c>
      <c r="F5970" s="5">
        <v>0.71599999999999997</v>
      </c>
    </row>
    <row r="5971" spans="2:6" ht="25.5" x14ac:dyDescent="0.2">
      <c r="B5971" s="9" t="s">
        <v>12006</v>
      </c>
      <c r="C5971" s="15" t="s">
        <v>12007</v>
      </c>
      <c r="D5971" s="12" t="str">
        <f>"1369-8486"</f>
        <v>1369-8486</v>
      </c>
      <c r="E5971" s="5">
        <v>0.754</v>
      </c>
      <c r="F5971" s="5">
        <v>0.40500000000000003</v>
      </c>
    </row>
    <row r="5972" spans="2:6" x14ac:dyDescent="0.2">
      <c r="B5972" s="9" t="s">
        <v>7845</v>
      </c>
      <c r="C5972" s="15" t="s">
        <v>2846</v>
      </c>
      <c r="D5972" s="12" t="str">
        <f>"0166-0616"</f>
        <v>0166-0616</v>
      </c>
      <c r="E5972" s="5">
        <v>16.097000000000001</v>
      </c>
      <c r="F5972" s="5">
        <v>0.96599999999999997</v>
      </c>
    </row>
    <row r="5973" spans="2:6" x14ac:dyDescent="0.2">
      <c r="B5973" s="9" t="s">
        <v>207</v>
      </c>
      <c r="C5973" s="15" t="s">
        <v>208</v>
      </c>
      <c r="D5973" s="12" t="str">
        <f>"0039-3320"</f>
        <v>0039-3320</v>
      </c>
      <c r="E5973" s="5">
        <v>0.85</v>
      </c>
      <c r="F5973" s="5">
        <v>0.14399999999999999</v>
      </c>
    </row>
    <row r="5974" spans="2:6" x14ac:dyDescent="0.2">
      <c r="B5974" s="9" t="s">
        <v>12008</v>
      </c>
      <c r="C5974" s="15" t="s">
        <v>12009</v>
      </c>
      <c r="D5974" s="12" t="str">
        <f>"0305-7267"</f>
        <v>0305-7267</v>
      </c>
      <c r="E5974" s="5">
        <v>3.4169999999999998</v>
      </c>
      <c r="F5974" s="5">
        <v>0.81399999999999995</v>
      </c>
    </row>
    <row r="5975" spans="2:6" x14ac:dyDescent="0.2">
      <c r="B5975" s="9" t="s">
        <v>209</v>
      </c>
      <c r="C5975" s="15" t="s">
        <v>210</v>
      </c>
      <c r="D5975" s="12" t="str">
        <f>"1224-7154"</f>
        <v>1224-7154</v>
      </c>
      <c r="E5975" s="5">
        <v>0.44700000000000001</v>
      </c>
      <c r="F5975" s="5">
        <v>3.4000000000000002E-2</v>
      </c>
    </row>
    <row r="5976" spans="2:6" x14ac:dyDescent="0.2">
      <c r="B5976" s="9" t="s">
        <v>12010</v>
      </c>
      <c r="C5976" s="15" t="s">
        <v>12011</v>
      </c>
      <c r="D5976" s="12" t="str">
        <f>"0889-7077"</f>
        <v>0889-7077</v>
      </c>
      <c r="E5976" s="5">
        <v>3.7160000000000002</v>
      </c>
      <c r="F5976" s="5">
        <v>0.70699999999999996</v>
      </c>
    </row>
    <row r="5977" spans="2:6" x14ac:dyDescent="0.2">
      <c r="B5977" s="9" t="s">
        <v>12012</v>
      </c>
      <c r="C5977" s="15" t="s">
        <v>12013</v>
      </c>
      <c r="D5977" s="12" t="str">
        <f>"1747-597X"</f>
        <v>1747-597X</v>
      </c>
      <c r="E5977" s="5">
        <v>2.5830000000000002</v>
      </c>
      <c r="F5977" s="5">
        <v>0.39</v>
      </c>
    </row>
    <row r="5978" spans="2:6" x14ac:dyDescent="0.2">
      <c r="B5978" s="9" t="s">
        <v>7846</v>
      </c>
      <c r="C5978" s="15" t="s">
        <v>2847</v>
      </c>
      <c r="D5978" s="12" t="str">
        <f>"1082-6084"</f>
        <v>1082-6084</v>
      </c>
      <c r="E5978" s="5">
        <v>2.1640000000000001</v>
      </c>
      <c r="F5978" s="5">
        <v>0.32500000000000001</v>
      </c>
    </row>
    <row r="5979" spans="2:6" x14ac:dyDescent="0.2">
      <c r="B5979" s="9" t="s">
        <v>211</v>
      </c>
      <c r="C5979" s="15" t="s">
        <v>12014</v>
      </c>
      <c r="D5979" s="12" t="str">
        <f>"1439-9903"</f>
        <v>1439-9903</v>
      </c>
      <c r="E5979" s="5">
        <v>0.46300000000000002</v>
      </c>
      <c r="F5979" s="5">
        <v>3.6999999999999998E-2</v>
      </c>
    </row>
    <row r="5980" spans="2:6" x14ac:dyDescent="0.2">
      <c r="B5980" s="9" t="s">
        <v>7847</v>
      </c>
      <c r="C5980" s="15" t="s">
        <v>2848</v>
      </c>
      <c r="D5980" s="12" t="str">
        <f>"0941-4355"</f>
        <v>0941-4355</v>
      </c>
      <c r="E5980" s="5">
        <v>3.6030000000000002</v>
      </c>
      <c r="F5980" s="5">
        <v>0.92400000000000004</v>
      </c>
    </row>
    <row r="5981" spans="2:6" x14ac:dyDescent="0.2">
      <c r="B5981" s="9" t="s">
        <v>7848</v>
      </c>
      <c r="C5981" s="15" t="s">
        <v>2849</v>
      </c>
      <c r="D5981" s="12" t="str">
        <f>"1061-0278"</f>
        <v>1061-0278</v>
      </c>
      <c r="E5981" s="5">
        <v>1.6879999999999999</v>
      </c>
      <c r="F5981" s="5">
        <v>0.28699999999999998</v>
      </c>
    </row>
    <row r="5982" spans="2:6" x14ac:dyDescent="0.2">
      <c r="B5982" s="9" t="s">
        <v>12015</v>
      </c>
      <c r="C5982" s="15" t="s">
        <v>12016</v>
      </c>
      <c r="D5982" s="12" t="str">
        <f>"2051-672X"</f>
        <v>2051-672X</v>
      </c>
      <c r="E5982" s="5">
        <v>2.0379999999999998</v>
      </c>
      <c r="F5982" s="5">
        <v>0.46899999999999997</v>
      </c>
    </row>
    <row r="5983" spans="2:6" x14ac:dyDescent="0.2">
      <c r="B5983" s="9" t="s">
        <v>7849</v>
      </c>
      <c r="C5983" s="15" t="s">
        <v>2850</v>
      </c>
      <c r="D5983" s="12" t="str">
        <f>"0039-6109"</f>
        <v>0039-6109</v>
      </c>
      <c r="E5983" s="5">
        <v>2.7410000000000001</v>
      </c>
      <c r="F5983" s="5">
        <v>0.58099999999999996</v>
      </c>
    </row>
    <row r="5984" spans="2:6" x14ac:dyDescent="0.2">
      <c r="B5984" s="9" t="s">
        <v>7850</v>
      </c>
      <c r="C5984" s="15" t="s">
        <v>2851</v>
      </c>
      <c r="D5984" s="12" t="str">
        <f>"0930-2794"</f>
        <v>0930-2794</v>
      </c>
      <c r="E5984" s="5">
        <v>4.5839999999999996</v>
      </c>
      <c r="F5984" s="5">
        <v>0.84799999999999998</v>
      </c>
    </row>
    <row r="5985" spans="2:6" x14ac:dyDescent="0.2">
      <c r="B5985" s="9" t="s">
        <v>5614</v>
      </c>
      <c r="C5985" s="15" t="s">
        <v>5614</v>
      </c>
      <c r="D5985" s="12" t="str">
        <f>"0039-6060"</f>
        <v>0039-6060</v>
      </c>
      <c r="E5985" s="5">
        <v>3.9820000000000002</v>
      </c>
      <c r="F5985" s="5">
        <v>0.79</v>
      </c>
    </row>
    <row r="5986" spans="2:6" x14ac:dyDescent="0.2">
      <c r="B5986" s="9" t="s">
        <v>12017</v>
      </c>
      <c r="C5986" s="15" t="s">
        <v>12018</v>
      </c>
      <c r="D5986" s="12" t="str">
        <f>"1096-2964"</f>
        <v>1096-2964</v>
      </c>
      <c r="E5986" s="5">
        <v>2.15</v>
      </c>
      <c r="F5986" s="5">
        <v>0.41399999999999998</v>
      </c>
    </row>
    <row r="5987" spans="2:6" x14ac:dyDescent="0.2">
      <c r="B5987" s="9" t="s">
        <v>212</v>
      </c>
      <c r="C5987" s="15" t="s">
        <v>213</v>
      </c>
      <c r="D5987" s="12" t="str">
        <f>"1553-3506"</f>
        <v>1553-3506</v>
      </c>
      <c r="E5987" s="5">
        <v>2.0579999999999998</v>
      </c>
      <c r="F5987" s="5">
        <v>0.39</v>
      </c>
    </row>
    <row r="5988" spans="2:6" ht="25.5" x14ac:dyDescent="0.2">
      <c r="B5988" s="9" t="s">
        <v>7855</v>
      </c>
      <c r="C5988" s="15" t="s">
        <v>2856</v>
      </c>
      <c r="D5988" s="12" t="str">
        <f>"1479-666X"</f>
        <v>1479-666X</v>
      </c>
      <c r="E5988" s="5">
        <v>2.3919999999999999</v>
      </c>
      <c r="F5988" s="5">
        <v>0.495</v>
      </c>
    </row>
    <row r="5989" spans="2:6" x14ac:dyDescent="0.2">
      <c r="B5989" s="9" t="s">
        <v>7851</v>
      </c>
      <c r="C5989" s="15" t="s">
        <v>2852</v>
      </c>
      <c r="D5989" s="12" t="str">
        <f>"1530-4515"</f>
        <v>1530-4515</v>
      </c>
      <c r="E5989" s="5">
        <v>1.7190000000000001</v>
      </c>
      <c r="F5989" s="5">
        <v>0.26200000000000001</v>
      </c>
    </row>
    <row r="5990" spans="2:6" x14ac:dyDescent="0.2">
      <c r="B5990" s="9" t="s">
        <v>214</v>
      </c>
      <c r="C5990" s="15" t="s">
        <v>215</v>
      </c>
      <c r="D5990" s="12" t="str">
        <f>"1550-7289"</f>
        <v>1550-7289</v>
      </c>
      <c r="E5990" s="5">
        <v>4.734</v>
      </c>
      <c r="F5990" s="5">
        <v>0.871</v>
      </c>
    </row>
    <row r="5991" spans="2:6" x14ac:dyDescent="0.2">
      <c r="B5991" s="9" t="s">
        <v>7852</v>
      </c>
      <c r="C5991" s="15" t="s">
        <v>2853</v>
      </c>
      <c r="D5991" s="12" t="str">
        <f>"0960-7404"</f>
        <v>0960-7404</v>
      </c>
      <c r="E5991" s="5">
        <v>3.2789999999999999</v>
      </c>
      <c r="F5991" s="5">
        <v>0.67600000000000005</v>
      </c>
    </row>
    <row r="5992" spans="2:6" x14ac:dyDescent="0.2">
      <c r="B5992" s="9" t="s">
        <v>216</v>
      </c>
      <c r="C5992" s="15" t="s">
        <v>217</v>
      </c>
      <c r="D5992" s="12" t="str">
        <f>"1055-3207"</f>
        <v>1055-3207</v>
      </c>
      <c r="E5992" s="5">
        <v>3.4950000000000001</v>
      </c>
      <c r="F5992" s="5">
        <v>0.73799999999999999</v>
      </c>
    </row>
    <row r="5993" spans="2:6" x14ac:dyDescent="0.2">
      <c r="B5993" s="9" t="s">
        <v>7853</v>
      </c>
      <c r="C5993" s="15" t="s">
        <v>2854</v>
      </c>
      <c r="D5993" s="12" t="str">
        <f>"1279-8517"</f>
        <v>1279-8517</v>
      </c>
      <c r="E5993" s="5">
        <v>1.246</v>
      </c>
      <c r="F5993" s="5">
        <v>0.28599999999999998</v>
      </c>
    </row>
    <row r="5994" spans="2:6" x14ac:dyDescent="0.2">
      <c r="B5994" s="9" t="s">
        <v>7854</v>
      </c>
      <c r="C5994" s="15" t="s">
        <v>2855</v>
      </c>
      <c r="D5994" s="12" t="str">
        <f>"0941-1291"</f>
        <v>0941-1291</v>
      </c>
      <c r="E5994" s="5">
        <v>2.5489999999999999</v>
      </c>
      <c r="F5994" s="5">
        <v>0.52900000000000003</v>
      </c>
    </row>
    <row r="5995" spans="2:6" x14ac:dyDescent="0.2">
      <c r="B5995" s="9" t="s">
        <v>218</v>
      </c>
      <c r="C5995" s="15" t="s">
        <v>219</v>
      </c>
      <c r="D5995" s="12" t="str">
        <f>"0714-0045"</f>
        <v>0714-0045</v>
      </c>
      <c r="E5995" s="5">
        <v>0.378</v>
      </c>
      <c r="F5995" s="5">
        <v>1.9E-2</v>
      </c>
    </row>
    <row r="5996" spans="2:6" x14ac:dyDescent="0.2">
      <c r="B5996" s="9" t="s">
        <v>7856</v>
      </c>
      <c r="C5996" s="15" t="s">
        <v>2857</v>
      </c>
      <c r="D5996" s="12" t="str">
        <f>"0039-6257"</f>
        <v>0039-6257</v>
      </c>
      <c r="E5996" s="5">
        <v>6.048</v>
      </c>
      <c r="F5996" s="5">
        <v>0.93500000000000005</v>
      </c>
    </row>
    <row r="5997" spans="2:6" x14ac:dyDescent="0.2">
      <c r="B5997" s="9" t="s">
        <v>12019</v>
      </c>
      <c r="C5997" s="15" t="s">
        <v>12020</v>
      </c>
      <c r="D5997" s="12" t="str">
        <f>"2352-5541"</f>
        <v>2352-5541</v>
      </c>
      <c r="E5997" s="5">
        <v>4.508</v>
      </c>
      <c r="F5997" s="5">
        <v>0.69599999999999995</v>
      </c>
    </row>
    <row r="5998" spans="2:6" x14ac:dyDescent="0.2">
      <c r="B5998" s="9" t="s">
        <v>220</v>
      </c>
      <c r="C5998" s="15" t="s">
        <v>221</v>
      </c>
      <c r="D5998" s="12" t="str">
        <f>"1421-0185"</f>
        <v>1421-0185</v>
      </c>
      <c r="E5998" s="5">
        <v>0.92900000000000005</v>
      </c>
      <c r="F5998" s="5">
        <v>0.18</v>
      </c>
    </row>
    <row r="5999" spans="2:6" x14ac:dyDescent="0.2">
      <c r="B5999" s="9" t="s">
        <v>7857</v>
      </c>
      <c r="C5999" s="15" t="s">
        <v>2858</v>
      </c>
      <c r="D5999" s="12" t="str">
        <f>"2504-1622"</f>
        <v>2504-1622</v>
      </c>
      <c r="E5999" s="5">
        <v>2.1930000000000001</v>
      </c>
      <c r="F5999" s="5">
        <v>0.45500000000000002</v>
      </c>
    </row>
    <row r="6000" spans="2:6" x14ac:dyDescent="0.2">
      <c r="B6000" s="9" t="s">
        <v>7858</v>
      </c>
      <c r="C6000" s="15" t="s">
        <v>7858</v>
      </c>
      <c r="D6000" s="12" t="str">
        <f>"0334-5114"</f>
        <v>0334-5114</v>
      </c>
      <c r="E6000" s="5">
        <v>2.2679999999999998</v>
      </c>
      <c r="F6000" s="5">
        <v>0.17</v>
      </c>
    </row>
    <row r="6001" spans="2:6" x14ac:dyDescent="0.2">
      <c r="B6001" s="9" t="s">
        <v>12021</v>
      </c>
      <c r="C6001" s="15" t="s">
        <v>12022</v>
      </c>
      <c r="D6001" s="12" t="str">
        <f>"2073-8994"</f>
        <v>2073-8994</v>
      </c>
      <c r="E6001" s="5">
        <v>2.7130000000000001</v>
      </c>
      <c r="F6001" s="5">
        <v>0.55600000000000005</v>
      </c>
    </row>
    <row r="6002" spans="2:6" x14ac:dyDescent="0.2">
      <c r="B6002" s="9" t="s">
        <v>7859</v>
      </c>
      <c r="C6002" s="15" t="s">
        <v>7859</v>
      </c>
      <c r="D6002" s="12" t="str">
        <f>"0887-4476"</f>
        <v>0887-4476</v>
      </c>
      <c r="E6002" s="5">
        <v>2.5619999999999998</v>
      </c>
      <c r="F6002" s="5">
        <v>0.26700000000000002</v>
      </c>
    </row>
    <row r="6003" spans="2:6" x14ac:dyDescent="0.2">
      <c r="B6003" s="9" t="s">
        <v>7860</v>
      </c>
      <c r="C6003" s="15" t="s">
        <v>7860</v>
      </c>
      <c r="D6003" s="12" t="str">
        <f>"0936-5214"</f>
        <v>0936-5214</v>
      </c>
      <c r="E6003" s="5">
        <v>2.4540000000000002</v>
      </c>
      <c r="F6003" s="5">
        <v>0.52600000000000002</v>
      </c>
    </row>
    <row r="6004" spans="2:6" x14ac:dyDescent="0.2">
      <c r="B6004" s="9" t="s">
        <v>12023</v>
      </c>
      <c r="C6004" s="15" t="s">
        <v>12024</v>
      </c>
      <c r="D6004" s="12" t="str">
        <f>"2405-805X"</f>
        <v>2405-805X</v>
      </c>
      <c r="E6004" s="5">
        <v>4.7080000000000002</v>
      </c>
      <c r="F6004" s="5">
        <v>0.75900000000000001</v>
      </c>
    </row>
    <row r="6005" spans="2:6" x14ac:dyDescent="0.2">
      <c r="B6005" s="9" t="s">
        <v>7861</v>
      </c>
      <c r="C6005" s="15" t="s">
        <v>7861</v>
      </c>
      <c r="D6005" s="12" t="str">
        <f>"0039-7857"</f>
        <v>0039-7857</v>
      </c>
      <c r="E6005" s="5">
        <v>2.9079999999999999</v>
      </c>
      <c r="F6005" s="5">
        <v>0.91900000000000004</v>
      </c>
    </row>
    <row r="6006" spans="2:6" x14ac:dyDescent="0.2">
      <c r="B6006" s="9" t="s">
        <v>7862</v>
      </c>
      <c r="C6006" s="15" t="s">
        <v>7862</v>
      </c>
      <c r="D6006" s="12" t="str">
        <f>"0039-7881"</f>
        <v>0039-7881</v>
      </c>
      <c r="E6006" s="5">
        <v>3.157</v>
      </c>
      <c r="F6006" s="5">
        <v>0.64900000000000002</v>
      </c>
    </row>
    <row r="6007" spans="2:6" x14ac:dyDescent="0.2">
      <c r="B6007" s="9" t="s">
        <v>7863</v>
      </c>
      <c r="C6007" s="15" t="s">
        <v>2859</v>
      </c>
      <c r="D6007" s="12" t="str">
        <f>"0039-7911"</f>
        <v>0039-7911</v>
      </c>
      <c r="E6007" s="5">
        <v>2.0070000000000001</v>
      </c>
      <c r="F6007" s="5">
        <v>0.36799999999999999</v>
      </c>
    </row>
    <row r="6008" spans="2:6" x14ac:dyDescent="0.2">
      <c r="B6008" s="9" t="s">
        <v>7864</v>
      </c>
      <c r="C6008" s="15" t="s">
        <v>2860</v>
      </c>
      <c r="D6008" s="12" t="str">
        <f>"0723-2020"</f>
        <v>0723-2020</v>
      </c>
      <c r="E6008" s="5">
        <v>4.0220000000000002</v>
      </c>
      <c r="F6008" s="5">
        <v>0.66500000000000004</v>
      </c>
    </row>
    <row r="6009" spans="2:6" x14ac:dyDescent="0.2">
      <c r="B6009" s="9" t="s">
        <v>12025</v>
      </c>
      <c r="C6009" s="15" t="s">
        <v>222</v>
      </c>
      <c r="D6009" s="12" t="str">
        <f>"1939-6368"</f>
        <v>1939-6368</v>
      </c>
      <c r="E6009" s="5">
        <v>3.0609999999999999</v>
      </c>
      <c r="F6009" s="5">
        <v>0.5</v>
      </c>
    </row>
    <row r="6010" spans="2:6" x14ac:dyDescent="0.2">
      <c r="B6010" s="9" t="s">
        <v>7865</v>
      </c>
      <c r="C6010" s="15" t="s">
        <v>2861</v>
      </c>
      <c r="D6010" s="12" t="str">
        <f>"0165-5752"</f>
        <v>0165-5752</v>
      </c>
      <c r="E6010" s="5">
        <v>1.431</v>
      </c>
      <c r="F6010" s="5">
        <v>0.21099999999999999</v>
      </c>
    </row>
    <row r="6011" spans="2:6" x14ac:dyDescent="0.2">
      <c r="B6011" s="9" t="s">
        <v>223</v>
      </c>
      <c r="C6011" s="15" t="s">
        <v>224</v>
      </c>
      <c r="D6011" s="12" t="str">
        <f>"1092-7026"</f>
        <v>1092-7026</v>
      </c>
      <c r="E6011" s="5">
        <v>1.75</v>
      </c>
      <c r="F6011" s="5">
        <v>0.41299999999999998</v>
      </c>
    </row>
    <row r="6012" spans="2:6" x14ac:dyDescent="0.2">
      <c r="B6012" s="9" t="s">
        <v>12026</v>
      </c>
      <c r="C6012" s="15" t="s">
        <v>12027</v>
      </c>
      <c r="D6012" s="12" t="str">
        <f>"2046-4053"</f>
        <v>2046-4053</v>
      </c>
      <c r="E6012" s="5">
        <v>2.5219999999999998</v>
      </c>
      <c r="F6012" s="5">
        <v>0.57499999999999996</v>
      </c>
    </row>
    <row r="6013" spans="2:6" x14ac:dyDescent="0.2">
      <c r="B6013" s="9" t="s">
        <v>12028</v>
      </c>
      <c r="C6013" s="15" t="s">
        <v>12029</v>
      </c>
      <c r="D6013" s="12" t="str">
        <f>"1875-6263"</f>
        <v>1875-6263</v>
      </c>
      <c r="E6013" s="5">
        <v>1.7050000000000001</v>
      </c>
      <c r="F6013" s="5">
        <v>0.14499999999999999</v>
      </c>
    </row>
    <row r="6014" spans="2:6" x14ac:dyDescent="0.2">
      <c r="B6014" s="9" t="s">
        <v>7869</v>
      </c>
      <c r="C6014" s="15" t="s">
        <v>7869</v>
      </c>
      <c r="D6014" s="12" t="str">
        <f>"0039-9140"</f>
        <v>0039-9140</v>
      </c>
      <c r="E6014" s="5">
        <v>6.0570000000000004</v>
      </c>
      <c r="F6014" s="5">
        <v>0.86699999999999999</v>
      </c>
    </row>
    <row r="6015" spans="2:6" x14ac:dyDescent="0.2">
      <c r="B6015" s="9" t="s">
        <v>12030</v>
      </c>
      <c r="C6015" s="15" t="s">
        <v>12031</v>
      </c>
      <c r="D6015" s="12" t="str">
        <f>"1776-2596"</f>
        <v>1776-2596</v>
      </c>
      <c r="E6015" s="5">
        <v>4.4930000000000003</v>
      </c>
      <c r="F6015" s="5">
        <v>0.57299999999999995</v>
      </c>
    </row>
    <row r="6016" spans="2:6" x14ac:dyDescent="0.2">
      <c r="B6016" s="9" t="s">
        <v>7866</v>
      </c>
      <c r="C6016" s="15" t="s">
        <v>2862</v>
      </c>
      <c r="D6016" s="12" t="str">
        <f>"0315-8977"</f>
        <v>0315-8977</v>
      </c>
      <c r="E6016" s="5">
        <v>1.45</v>
      </c>
      <c r="F6016" s="5">
        <v>0.23300000000000001</v>
      </c>
    </row>
    <row r="6017" spans="2:6" x14ac:dyDescent="0.2">
      <c r="B6017" s="9" t="s">
        <v>7870</v>
      </c>
      <c r="C6017" s="15" t="s">
        <v>2865</v>
      </c>
      <c r="D6017" s="12" t="str">
        <f>"1040-1334"</f>
        <v>1040-1334</v>
      </c>
      <c r="E6017" s="5">
        <v>2.4140000000000001</v>
      </c>
      <c r="F6017" s="5">
        <v>0.58099999999999996</v>
      </c>
    </row>
    <row r="6018" spans="2:6" x14ac:dyDescent="0.2">
      <c r="B6018" s="9" t="s">
        <v>225</v>
      </c>
      <c r="C6018" s="15" t="s">
        <v>226</v>
      </c>
      <c r="D6018" s="12" t="str">
        <f>"0098-6283"</f>
        <v>0098-6283</v>
      </c>
      <c r="E6018" s="5">
        <v>1.1759999999999999</v>
      </c>
      <c r="F6018" s="5">
        <v>0.223</v>
      </c>
    </row>
    <row r="6019" spans="2:6" x14ac:dyDescent="0.2">
      <c r="B6019" s="9" t="s">
        <v>12032</v>
      </c>
      <c r="C6019" s="15" t="s">
        <v>12033</v>
      </c>
      <c r="D6019" s="12" t="str">
        <f>"1128-045X"</f>
        <v>1128-045X</v>
      </c>
      <c r="E6019" s="5">
        <v>3.7810000000000001</v>
      </c>
      <c r="F6019" s="5">
        <v>0.77100000000000002</v>
      </c>
    </row>
    <row r="6020" spans="2:6" x14ac:dyDescent="0.2">
      <c r="B6020" s="9" t="s">
        <v>7871</v>
      </c>
      <c r="C6020" s="15" t="s">
        <v>2866</v>
      </c>
      <c r="D6020" s="12" t="str">
        <f>"0953-7325"</f>
        <v>0953-7325</v>
      </c>
      <c r="E6020" s="5">
        <v>2.8740000000000001</v>
      </c>
      <c r="F6020" s="5">
        <v>0.32300000000000001</v>
      </c>
    </row>
    <row r="6021" spans="2:6" x14ac:dyDescent="0.2">
      <c r="B6021" s="9" t="s">
        <v>7872</v>
      </c>
      <c r="C6021" s="15" t="s">
        <v>2867</v>
      </c>
      <c r="D6021" s="12" t="str">
        <f>"1533-0346"</f>
        <v>1533-0346</v>
      </c>
      <c r="E6021" s="5">
        <v>3.399</v>
      </c>
      <c r="F6021" s="5">
        <v>0.33200000000000002</v>
      </c>
    </row>
    <row r="6022" spans="2:6" x14ac:dyDescent="0.2">
      <c r="B6022" s="9" t="s">
        <v>7873</v>
      </c>
      <c r="C6022" s="15" t="s">
        <v>2868</v>
      </c>
      <c r="D6022" s="12" t="str">
        <f>"0040-165X"</f>
        <v>0040-165X</v>
      </c>
      <c r="E6022" s="5">
        <v>0.85</v>
      </c>
      <c r="F6022" s="5">
        <v>0.45900000000000002</v>
      </c>
    </row>
    <row r="6023" spans="2:6" x14ac:dyDescent="0.2">
      <c r="B6023" s="9" t="s">
        <v>12034</v>
      </c>
      <c r="C6023" s="15" t="s">
        <v>12035</v>
      </c>
      <c r="D6023" s="12"/>
      <c r="E6023" s="5">
        <v>1.2849999999999999</v>
      </c>
      <c r="F6023" s="5">
        <v>0.08</v>
      </c>
    </row>
    <row r="6024" spans="2:6" x14ac:dyDescent="0.2">
      <c r="B6024" s="9" t="s">
        <v>12036</v>
      </c>
      <c r="C6024" s="15" t="s">
        <v>12037</v>
      </c>
      <c r="D6024" s="12" t="str">
        <f>"0160-791X"</f>
        <v>0160-791X</v>
      </c>
      <c r="E6024" s="5">
        <v>4.1920000000000002</v>
      </c>
      <c r="F6024" s="5">
        <v>0.93200000000000005</v>
      </c>
    </row>
    <row r="6025" spans="2:6" x14ac:dyDescent="0.2">
      <c r="B6025" s="9" t="s">
        <v>7874</v>
      </c>
      <c r="C6025" s="15" t="s">
        <v>7874</v>
      </c>
      <c r="D6025" s="12" t="str">
        <f>"0040-1706"</f>
        <v>0040-1706</v>
      </c>
      <c r="E6025" s="5">
        <v>2.988</v>
      </c>
      <c r="F6025" s="5">
        <v>0.82399999999999995</v>
      </c>
    </row>
    <row r="6026" spans="2:6" x14ac:dyDescent="0.2">
      <c r="B6026" s="9" t="s">
        <v>227</v>
      </c>
      <c r="C6026" s="15" t="s">
        <v>228</v>
      </c>
      <c r="D6026" s="12" t="str">
        <f>"0308-5961"</f>
        <v>0308-5961</v>
      </c>
      <c r="E6026" s="5">
        <v>3.036</v>
      </c>
      <c r="F6026" s="5">
        <v>0.64900000000000002</v>
      </c>
    </row>
    <row r="6027" spans="2:6" x14ac:dyDescent="0.2">
      <c r="B6027" s="9" t="s">
        <v>12038</v>
      </c>
      <c r="C6027" s="15" t="s">
        <v>12039</v>
      </c>
      <c r="D6027" s="12" t="str">
        <f>"0736-5853"</f>
        <v>0736-5853</v>
      </c>
      <c r="E6027" s="5">
        <v>6.1820000000000004</v>
      </c>
      <c r="F6027" s="5">
        <v>0.88200000000000001</v>
      </c>
    </row>
    <row r="6028" spans="2:6" x14ac:dyDescent="0.2">
      <c r="B6028" s="9" t="s">
        <v>12040</v>
      </c>
      <c r="C6028" s="15" t="s">
        <v>12041</v>
      </c>
      <c r="D6028" s="12" t="str">
        <f>"1530-5627"</f>
        <v>1530-5627</v>
      </c>
      <c r="E6028" s="5">
        <v>3.536</v>
      </c>
      <c r="F6028" s="5">
        <v>0.67300000000000004</v>
      </c>
    </row>
    <row r="6029" spans="2:6" x14ac:dyDescent="0.2">
      <c r="B6029" s="9" t="s">
        <v>7875</v>
      </c>
      <c r="C6029" s="15" t="s">
        <v>2869</v>
      </c>
      <c r="D6029" s="12" t="str">
        <f>"0040-3660"</f>
        <v>0040-3660</v>
      </c>
      <c r="E6029" s="5">
        <v>0.46700000000000003</v>
      </c>
      <c r="F6029" s="5">
        <v>5.3999999999999999E-2</v>
      </c>
    </row>
    <row r="6030" spans="2:6" x14ac:dyDescent="0.2">
      <c r="B6030" s="9" t="s">
        <v>12042</v>
      </c>
      <c r="C6030" s="15" t="s">
        <v>12043</v>
      </c>
      <c r="D6030" s="12" t="str">
        <f>"0718-4808"</f>
        <v>0718-4808</v>
      </c>
      <c r="E6030" s="5">
        <v>0.69</v>
      </c>
      <c r="F6030" s="5">
        <v>5.3999999999999999E-2</v>
      </c>
    </row>
    <row r="6031" spans="2:6" x14ac:dyDescent="0.2">
      <c r="B6031" s="9" t="s">
        <v>12044</v>
      </c>
      <c r="C6031" s="15" t="s">
        <v>6945</v>
      </c>
      <c r="D6031" s="12" t="str">
        <f>"1133-0686"</f>
        <v>1133-0686</v>
      </c>
      <c r="E6031" s="5">
        <v>2.3450000000000002</v>
      </c>
      <c r="F6031" s="5">
        <v>0.72799999999999998</v>
      </c>
    </row>
    <row r="6032" spans="2:6" x14ac:dyDescent="0.2">
      <c r="B6032" s="9" t="s">
        <v>6946</v>
      </c>
      <c r="C6032" s="15" t="s">
        <v>6946</v>
      </c>
      <c r="D6032" s="12" t="str">
        <f>"0040-4020"</f>
        <v>0040-4020</v>
      </c>
      <c r="E6032" s="5">
        <v>2.4569999999999999</v>
      </c>
      <c r="F6032" s="5">
        <v>0.54400000000000004</v>
      </c>
    </row>
    <row r="6033" spans="2:6" x14ac:dyDescent="0.2">
      <c r="B6033" s="9" t="s">
        <v>6947</v>
      </c>
      <c r="C6033" s="15" t="s">
        <v>2870</v>
      </c>
      <c r="D6033" s="12" t="str">
        <f>"0040-4039"</f>
        <v>0040-4039</v>
      </c>
      <c r="E6033" s="5">
        <v>2.415</v>
      </c>
      <c r="F6033" s="5">
        <v>0.49099999999999999</v>
      </c>
    </row>
    <row r="6034" spans="2:6" x14ac:dyDescent="0.2">
      <c r="B6034" s="9" t="s">
        <v>6948</v>
      </c>
      <c r="C6034" s="15" t="s">
        <v>2871</v>
      </c>
      <c r="D6034" s="12" t="str">
        <f>"0730-2347"</f>
        <v>0730-2347</v>
      </c>
      <c r="E6034" s="5">
        <v>1.4550000000000001</v>
      </c>
      <c r="F6034" s="5">
        <v>8.5000000000000006E-2</v>
      </c>
    </row>
    <row r="6035" spans="2:6" x14ac:dyDescent="0.2">
      <c r="B6035" s="9" t="s">
        <v>12045</v>
      </c>
      <c r="C6035" s="15" t="s">
        <v>12046</v>
      </c>
      <c r="D6035" s="12" t="str">
        <f>"1333-1124"</f>
        <v>1333-1124</v>
      </c>
      <c r="E6035" s="5">
        <v>0.74299999999999999</v>
      </c>
      <c r="F6035" s="5">
        <v>6.9000000000000006E-2</v>
      </c>
    </row>
    <row r="6036" spans="2:6" x14ac:dyDescent="0.2">
      <c r="B6036" s="9" t="s">
        <v>12047</v>
      </c>
      <c r="C6036" s="15" t="s">
        <v>12048</v>
      </c>
      <c r="D6036" s="12" t="str">
        <f>"0125-6491"</f>
        <v>0125-6491</v>
      </c>
      <c r="E6036" s="5">
        <v>0.28100000000000003</v>
      </c>
      <c r="F6036" s="5">
        <v>4.1000000000000002E-2</v>
      </c>
    </row>
    <row r="6037" spans="2:6" ht="25.5" x14ac:dyDescent="0.2">
      <c r="B6037" s="9" t="s">
        <v>12049</v>
      </c>
      <c r="C6037" s="15" t="s">
        <v>12049</v>
      </c>
      <c r="D6037" s="12" t="str">
        <f>"2056-4538"</f>
        <v>2056-4538</v>
      </c>
      <c r="E6037" s="5">
        <v>5.6379999999999999</v>
      </c>
      <c r="F6037" s="5">
        <v>0.85699999999999998</v>
      </c>
    </row>
    <row r="6038" spans="2:6" x14ac:dyDescent="0.2">
      <c r="B6038" s="9" t="s">
        <v>12050</v>
      </c>
      <c r="C6038" s="15" t="s">
        <v>12050</v>
      </c>
      <c r="D6038" s="12" t="str">
        <f>"2589-7500"</f>
        <v>2589-7500</v>
      </c>
      <c r="E6038" s="5">
        <v>24.518999999999998</v>
      </c>
      <c r="F6038" s="5">
        <v>1</v>
      </c>
    </row>
    <row r="6039" spans="2:6" x14ac:dyDescent="0.2">
      <c r="B6039" s="9" t="s">
        <v>12051</v>
      </c>
      <c r="C6039" s="15" t="s">
        <v>12052</v>
      </c>
      <c r="D6039" s="12" t="str">
        <f>"1474-6700"</f>
        <v>1474-6700</v>
      </c>
      <c r="E6039" s="5">
        <v>0.88</v>
      </c>
      <c r="F6039" s="5">
        <v>0.47299999999999998</v>
      </c>
    </row>
    <row r="6040" spans="2:6" x14ac:dyDescent="0.2">
      <c r="B6040" s="9" t="s">
        <v>6949</v>
      </c>
      <c r="C6040" s="15" t="s">
        <v>2872</v>
      </c>
      <c r="D6040" s="12" t="str">
        <f>"0167-8442"</f>
        <v>0167-8442</v>
      </c>
      <c r="E6040" s="5">
        <v>4.0170000000000003</v>
      </c>
      <c r="F6040" s="5">
        <v>0.81200000000000006</v>
      </c>
    </row>
    <row r="6041" spans="2:6" x14ac:dyDescent="0.2">
      <c r="B6041" s="9" t="s">
        <v>6950</v>
      </c>
      <c r="C6041" s="15" t="s">
        <v>2873</v>
      </c>
      <c r="D6041" s="12" t="str">
        <f>"0040-5752"</f>
        <v>0040-5752</v>
      </c>
      <c r="E6041" s="5">
        <v>5.6989999999999998</v>
      </c>
      <c r="F6041" s="5">
        <v>0.97299999999999998</v>
      </c>
    </row>
    <row r="6042" spans="2:6" x14ac:dyDescent="0.2">
      <c r="B6042" s="9" t="s">
        <v>12053</v>
      </c>
      <c r="C6042" s="15" t="s">
        <v>12054</v>
      </c>
      <c r="D6042" s="12" t="str">
        <f>"2282-2593"</f>
        <v>2282-2593</v>
      </c>
      <c r="E6042" s="5">
        <v>7.0999999999999994E-2</v>
      </c>
      <c r="F6042" s="5">
        <v>1.0999999999999999E-2</v>
      </c>
    </row>
    <row r="6043" spans="2:6" x14ac:dyDescent="0.2">
      <c r="B6043" s="9" t="s">
        <v>6951</v>
      </c>
      <c r="C6043" s="15" t="s">
        <v>2874</v>
      </c>
      <c r="D6043" s="12" t="str">
        <f>"1431-7613"</f>
        <v>1431-7613</v>
      </c>
      <c r="E6043" s="5">
        <v>1.919</v>
      </c>
      <c r="F6043" s="5">
        <v>0.39800000000000002</v>
      </c>
    </row>
    <row r="6044" spans="2:6" x14ac:dyDescent="0.2">
      <c r="B6044" s="9" t="s">
        <v>229</v>
      </c>
      <c r="C6044" s="15" t="s">
        <v>230</v>
      </c>
      <c r="D6044" s="12" t="str">
        <f>"0263-2764"</f>
        <v>0263-2764</v>
      </c>
      <c r="E6044" s="5">
        <v>3.532</v>
      </c>
      <c r="F6044" s="5">
        <v>0.97799999999999998</v>
      </c>
    </row>
    <row r="6045" spans="2:6" x14ac:dyDescent="0.2">
      <c r="B6045" s="9" t="s">
        <v>12055</v>
      </c>
      <c r="C6045" s="15" t="s">
        <v>12056</v>
      </c>
      <c r="D6045" s="12" t="str">
        <f>"0040-5760"</f>
        <v>0040-5760</v>
      </c>
      <c r="E6045" s="5">
        <v>0.82699999999999996</v>
      </c>
      <c r="F6045" s="5">
        <v>0.112</v>
      </c>
    </row>
    <row r="6046" spans="2:6" x14ac:dyDescent="0.2">
      <c r="B6046" s="9" t="s">
        <v>231</v>
      </c>
      <c r="C6046" s="15" t="s">
        <v>232</v>
      </c>
      <c r="D6046" s="12" t="str">
        <f>"1386-7415"</f>
        <v>1386-7415</v>
      </c>
      <c r="E6046" s="5">
        <v>0.88900000000000001</v>
      </c>
      <c r="F6046" s="5">
        <v>0.23200000000000001</v>
      </c>
    </row>
    <row r="6047" spans="2:6" x14ac:dyDescent="0.2">
      <c r="B6047" s="9" t="s">
        <v>6952</v>
      </c>
      <c r="C6047" s="15" t="s">
        <v>2875</v>
      </c>
      <c r="D6047" s="12" t="str">
        <f>"0040-5809"</f>
        <v>0040-5809</v>
      </c>
      <c r="E6047" s="5">
        <v>1.57</v>
      </c>
      <c r="F6047" s="5">
        <v>0.253</v>
      </c>
    </row>
    <row r="6048" spans="2:6" x14ac:dyDescent="0.2">
      <c r="B6048" s="9" t="s">
        <v>6953</v>
      </c>
      <c r="C6048" s="15" t="s">
        <v>2876</v>
      </c>
      <c r="D6048" s="12" t="str">
        <f>"0040-585X"</f>
        <v>0040-585X</v>
      </c>
      <c r="E6048" s="5">
        <v>0.77300000000000002</v>
      </c>
      <c r="F6048" s="5">
        <v>0.104</v>
      </c>
    </row>
    <row r="6049" spans="2:6" x14ac:dyDescent="0.2">
      <c r="B6049" s="9" t="s">
        <v>233</v>
      </c>
      <c r="C6049" s="15" t="s">
        <v>234</v>
      </c>
      <c r="D6049" s="12" t="str">
        <f>"0959-3543"</f>
        <v>0959-3543</v>
      </c>
      <c r="E6049" s="5">
        <v>1.8740000000000001</v>
      </c>
      <c r="F6049" s="5">
        <v>0.42399999999999999</v>
      </c>
    </row>
    <row r="6050" spans="2:6" x14ac:dyDescent="0.2">
      <c r="B6050" s="9" t="s">
        <v>12057</v>
      </c>
      <c r="C6050" s="15" t="s">
        <v>12058</v>
      </c>
      <c r="D6050" s="12" t="str">
        <f>"2040-6223"</f>
        <v>2040-6223</v>
      </c>
      <c r="E6050" s="5">
        <v>5.0910000000000002</v>
      </c>
      <c r="F6050" s="5">
        <v>0.78200000000000003</v>
      </c>
    </row>
    <row r="6051" spans="2:6" x14ac:dyDescent="0.2">
      <c r="B6051" s="9" t="s">
        <v>12059</v>
      </c>
      <c r="C6051" s="15" t="s">
        <v>12060</v>
      </c>
      <c r="D6051" s="12" t="str">
        <f>"2042-0986"</f>
        <v>2042-0986</v>
      </c>
      <c r="E6051" s="5">
        <v>3.8420000000000001</v>
      </c>
      <c r="F6051" s="5">
        <v>0.56699999999999995</v>
      </c>
    </row>
    <row r="6052" spans="2:6" x14ac:dyDescent="0.2">
      <c r="B6052" s="9" t="s">
        <v>12061</v>
      </c>
      <c r="C6052" s="15" t="s">
        <v>12062</v>
      </c>
      <c r="D6052" s="12" t="str">
        <f>"2042-0188"</f>
        <v>2042-0188</v>
      </c>
      <c r="E6052" s="5">
        <v>3.5649999999999999</v>
      </c>
      <c r="F6052" s="5">
        <v>0.40699999999999997</v>
      </c>
    </row>
    <row r="6053" spans="2:6" x14ac:dyDescent="0.2">
      <c r="B6053" s="9" t="s">
        <v>12063</v>
      </c>
      <c r="C6053" s="15" t="s">
        <v>12064</v>
      </c>
      <c r="D6053" s="12" t="str">
        <f>"1756-283X"</f>
        <v>1756-283X</v>
      </c>
      <c r="E6053" s="5">
        <v>4.4089999999999998</v>
      </c>
      <c r="F6053" s="5">
        <v>0.59799999999999998</v>
      </c>
    </row>
    <row r="6054" spans="2:6" x14ac:dyDescent="0.2">
      <c r="B6054" s="9" t="s">
        <v>12065</v>
      </c>
      <c r="C6054" s="15" t="s">
        <v>12066</v>
      </c>
      <c r="D6054" s="12" t="str">
        <f>"2040-6207"</f>
        <v>2040-6207</v>
      </c>
      <c r="E6054" s="5">
        <v>7.1669999999999998</v>
      </c>
      <c r="F6054" s="5">
        <v>0.86799999999999999</v>
      </c>
    </row>
    <row r="6055" spans="2:6" x14ac:dyDescent="0.2">
      <c r="B6055" s="9" t="s">
        <v>12067</v>
      </c>
      <c r="C6055" s="15" t="s">
        <v>12068</v>
      </c>
      <c r="D6055" s="12" t="str">
        <f>"1758-8340"</f>
        <v>1758-8340</v>
      </c>
      <c r="E6055" s="5">
        <v>8.1679999999999993</v>
      </c>
      <c r="F6055" s="5">
        <v>0.85499999999999998</v>
      </c>
    </row>
    <row r="6056" spans="2:6" x14ac:dyDescent="0.2">
      <c r="B6056" s="9" t="s">
        <v>12069</v>
      </c>
      <c r="C6056" s="15" t="s">
        <v>12070</v>
      </c>
      <c r="D6056" s="12" t="str">
        <f>"1759-720X"</f>
        <v>1759-720X</v>
      </c>
      <c r="E6056" s="5">
        <v>5.3460000000000001</v>
      </c>
      <c r="F6056" s="5">
        <v>0.79400000000000004</v>
      </c>
    </row>
    <row r="6057" spans="2:6" x14ac:dyDescent="0.2">
      <c r="B6057" s="9" t="s">
        <v>12071</v>
      </c>
      <c r="C6057" s="15" t="s">
        <v>12072</v>
      </c>
      <c r="D6057" s="12" t="str">
        <f>"1756-2856"</f>
        <v>1756-2856</v>
      </c>
      <c r="E6057" s="5">
        <v>6.57</v>
      </c>
      <c r="F6057" s="5">
        <v>0.88</v>
      </c>
    </row>
    <row r="6058" spans="2:6" x14ac:dyDescent="0.2">
      <c r="B6058" s="9" t="s">
        <v>12073</v>
      </c>
      <c r="C6058" s="15" t="s">
        <v>12074</v>
      </c>
      <c r="D6058" s="12" t="str">
        <f>"2045-1253"</f>
        <v>2045-1253</v>
      </c>
      <c r="E6058" s="5">
        <v>5</v>
      </c>
      <c r="F6058" s="5">
        <v>0.82399999999999995</v>
      </c>
    </row>
    <row r="6059" spans="2:6" x14ac:dyDescent="0.2">
      <c r="B6059" s="9" t="s">
        <v>12075</v>
      </c>
      <c r="C6059" s="15" t="s">
        <v>12076</v>
      </c>
      <c r="D6059" s="12" t="str">
        <f>"1753-4658"</f>
        <v>1753-4658</v>
      </c>
      <c r="E6059" s="5">
        <v>4.0309999999999997</v>
      </c>
      <c r="F6059" s="5">
        <v>0.67200000000000004</v>
      </c>
    </row>
    <row r="6060" spans="2:6" x14ac:dyDescent="0.2">
      <c r="B6060" s="9" t="s">
        <v>12077</v>
      </c>
      <c r="C6060" s="15" t="s">
        <v>12078</v>
      </c>
      <c r="D6060" s="12" t="str">
        <f>"1756-2872"</f>
        <v>1756-2872</v>
      </c>
      <c r="E6060" s="5">
        <v>2.3570000000000002</v>
      </c>
      <c r="F6060" s="5">
        <v>0.34799999999999998</v>
      </c>
    </row>
    <row r="6061" spans="2:6" x14ac:dyDescent="0.2">
      <c r="B6061" s="9" t="s">
        <v>12079</v>
      </c>
      <c r="C6061" s="15" t="s">
        <v>12080</v>
      </c>
      <c r="D6061" s="12" t="str">
        <f>"1838-7640"</f>
        <v>1838-7640</v>
      </c>
      <c r="E6061" s="5">
        <v>11.555999999999999</v>
      </c>
      <c r="F6061" s="5">
        <v>0.94299999999999995</v>
      </c>
    </row>
    <row r="6062" spans="2:6" x14ac:dyDescent="0.2">
      <c r="B6062" s="9" t="s">
        <v>6954</v>
      </c>
      <c r="C6062" s="15" t="s">
        <v>2877</v>
      </c>
      <c r="D6062" s="12" t="str">
        <f>"1744-9979"</f>
        <v>1744-9979</v>
      </c>
      <c r="E6062" s="5">
        <v>1.762</v>
      </c>
      <c r="F6062" s="5">
        <v>0.21299999999999999</v>
      </c>
    </row>
    <row r="6063" spans="2:6" x14ac:dyDescent="0.2">
      <c r="B6063" s="9" t="s">
        <v>6956</v>
      </c>
      <c r="C6063" s="15" t="s">
        <v>6956</v>
      </c>
      <c r="D6063" s="12" t="str">
        <f>"0040-5957"</f>
        <v>0040-5957</v>
      </c>
      <c r="E6063" s="5">
        <v>2.0699999999999998</v>
      </c>
      <c r="F6063" s="5">
        <v>0.215</v>
      </c>
    </row>
    <row r="6064" spans="2:6" x14ac:dyDescent="0.2">
      <c r="B6064" s="9" t="s">
        <v>12081</v>
      </c>
      <c r="C6064" s="15" t="s">
        <v>12082</v>
      </c>
      <c r="D6064" s="12" t="str">
        <f>"1178-203X"</f>
        <v>1178-203X</v>
      </c>
      <c r="E6064" s="5">
        <v>2.423</v>
      </c>
      <c r="F6064" s="5">
        <v>0.35499999999999998</v>
      </c>
    </row>
    <row r="6065" spans="2:6" x14ac:dyDescent="0.2">
      <c r="B6065" s="9" t="s">
        <v>6955</v>
      </c>
      <c r="C6065" s="15" t="s">
        <v>2878</v>
      </c>
      <c r="D6065" s="12" t="str">
        <f>"0163-4356"</f>
        <v>0163-4356</v>
      </c>
      <c r="E6065" s="5">
        <v>3.681</v>
      </c>
      <c r="F6065" s="5">
        <v>0.72399999999999998</v>
      </c>
    </row>
    <row r="6066" spans="2:6" x14ac:dyDescent="0.2">
      <c r="B6066" s="9" t="s">
        <v>12083</v>
      </c>
      <c r="C6066" s="15" t="s">
        <v>12084</v>
      </c>
      <c r="D6066" s="12" t="str">
        <f>"2153-7658"</f>
        <v>2153-7658</v>
      </c>
      <c r="E6066" s="5">
        <v>1.286</v>
      </c>
      <c r="F6066" s="5">
        <v>0.111</v>
      </c>
    </row>
    <row r="6067" spans="2:6" x14ac:dyDescent="0.2">
      <c r="B6067" s="9" t="s">
        <v>12085</v>
      </c>
      <c r="C6067" s="15" t="s">
        <v>12086</v>
      </c>
      <c r="D6067" s="12" t="str">
        <f>"2168-4790"</f>
        <v>2168-4790</v>
      </c>
      <c r="E6067" s="5">
        <v>1.778</v>
      </c>
      <c r="F6067" s="5">
        <v>0.156</v>
      </c>
    </row>
    <row r="6068" spans="2:6" x14ac:dyDescent="0.2">
      <c r="B6068" s="9" t="s">
        <v>6957</v>
      </c>
      <c r="C6068" s="15" t="s">
        <v>6957</v>
      </c>
      <c r="D6068" s="12" t="str">
        <f>"1879-3231"</f>
        <v>1879-3231</v>
      </c>
      <c r="E6068" s="5">
        <v>2.74</v>
      </c>
      <c r="F6068" s="5">
        <v>0.86299999999999999</v>
      </c>
    </row>
    <row r="6069" spans="2:6" x14ac:dyDescent="0.2">
      <c r="B6069" s="9" t="s">
        <v>6958</v>
      </c>
      <c r="C6069" s="15" t="s">
        <v>2879</v>
      </c>
      <c r="D6069" s="12" t="str">
        <f>"0040-6031"</f>
        <v>0040-6031</v>
      </c>
      <c r="E6069" s="5">
        <v>3.1150000000000002</v>
      </c>
      <c r="F6069" s="5">
        <v>0.65</v>
      </c>
    </row>
    <row r="6070" spans="2:6" x14ac:dyDescent="0.2">
      <c r="B6070" s="9" t="s">
        <v>12087</v>
      </c>
      <c r="C6070" s="15" t="s">
        <v>12088</v>
      </c>
      <c r="D6070" s="12" t="str">
        <f>"0869-8643"</f>
        <v>0869-8643</v>
      </c>
      <c r="E6070" s="5">
        <v>1.0229999999999999</v>
      </c>
      <c r="F6070" s="5">
        <v>0.20599999999999999</v>
      </c>
    </row>
    <row r="6071" spans="2:6" x14ac:dyDescent="0.2">
      <c r="B6071" s="9" t="s">
        <v>235</v>
      </c>
      <c r="C6071" s="15" t="s">
        <v>236</v>
      </c>
      <c r="D6071" s="12" t="str">
        <f>"1354-6783"</f>
        <v>1354-6783</v>
      </c>
      <c r="E6071" s="5">
        <v>3.5369999999999999</v>
      </c>
      <c r="F6071" s="5">
        <v>0.81100000000000005</v>
      </c>
    </row>
    <row r="6072" spans="2:6" x14ac:dyDescent="0.2">
      <c r="B6072" s="9" t="s">
        <v>12089</v>
      </c>
      <c r="C6072" s="15" t="s">
        <v>12090</v>
      </c>
      <c r="D6072" s="12" t="str">
        <f>"0263-8231"</f>
        <v>0263-8231</v>
      </c>
      <c r="E6072" s="5">
        <v>4.4420000000000002</v>
      </c>
      <c r="F6072" s="5">
        <v>0.86699999999999999</v>
      </c>
    </row>
    <row r="6073" spans="2:6" x14ac:dyDescent="0.2">
      <c r="B6073" s="9" t="s">
        <v>12091</v>
      </c>
      <c r="C6073" s="15" t="s">
        <v>12092</v>
      </c>
      <c r="D6073" s="12" t="str">
        <f>"1759-7706"</f>
        <v>1759-7706</v>
      </c>
      <c r="E6073" s="5">
        <v>3.5</v>
      </c>
      <c r="F6073" s="5">
        <v>0.60899999999999999</v>
      </c>
    </row>
    <row r="6074" spans="2:6" x14ac:dyDescent="0.2">
      <c r="B6074" s="9" t="s">
        <v>6959</v>
      </c>
      <c r="C6074" s="15" t="s">
        <v>2880</v>
      </c>
      <c r="D6074" s="12" t="str">
        <f>"0171-6425"</f>
        <v>0171-6425</v>
      </c>
      <c r="E6074" s="5">
        <v>1.827</v>
      </c>
      <c r="F6074" s="5">
        <v>0.30499999999999999</v>
      </c>
    </row>
    <row r="6075" spans="2:6" x14ac:dyDescent="0.2">
      <c r="B6075" s="9" t="s">
        <v>12093</v>
      </c>
      <c r="C6075" s="15" t="s">
        <v>12094</v>
      </c>
      <c r="D6075" s="12" t="str">
        <f>"1547-4127"</f>
        <v>1547-4127</v>
      </c>
      <c r="E6075" s="5">
        <v>1.75</v>
      </c>
      <c r="F6075" s="5">
        <v>0.28599999999999998</v>
      </c>
    </row>
    <row r="6076" spans="2:6" x14ac:dyDescent="0.2">
      <c r="B6076" s="9" t="s">
        <v>6960</v>
      </c>
      <c r="C6076" s="15" t="s">
        <v>6960</v>
      </c>
      <c r="D6076" s="12" t="str">
        <f>"0040-6376"</f>
        <v>0040-6376</v>
      </c>
      <c r="E6076" s="5">
        <v>9.1389999999999993</v>
      </c>
      <c r="F6076" s="5">
        <v>0.90600000000000003</v>
      </c>
    </row>
    <row r="6077" spans="2:6" x14ac:dyDescent="0.2">
      <c r="B6077" s="9" t="s">
        <v>6961</v>
      </c>
      <c r="C6077" s="15" t="s">
        <v>2881</v>
      </c>
      <c r="D6077" s="12" t="str">
        <f>"2567-689X"</f>
        <v>2567-689X</v>
      </c>
      <c r="E6077" s="5">
        <v>5.2489999999999997</v>
      </c>
      <c r="F6077" s="5">
        <v>0.81499999999999995</v>
      </c>
    </row>
    <row r="6078" spans="2:6" x14ac:dyDescent="0.2">
      <c r="B6078" s="9" t="s">
        <v>12095</v>
      </c>
      <c r="C6078" s="15" t="s">
        <v>12096</v>
      </c>
      <c r="D6078" s="12" t="str">
        <f>"1477-9560"</f>
        <v>1477-9560</v>
      </c>
      <c r="E6078" s="5">
        <v>5.5</v>
      </c>
      <c r="F6078" s="5">
        <v>0.86199999999999999</v>
      </c>
    </row>
    <row r="6079" spans="2:6" x14ac:dyDescent="0.2">
      <c r="B6079" s="9" t="s">
        <v>6962</v>
      </c>
      <c r="C6079" s="15" t="s">
        <v>2882</v>
      </c>
      <c r="D6079" s="12" t="str">
        <f>"0049-3848"</f>
        <v>0049-3848</v>
      </c>
      <c r="E6079" s="5">
        <v>3.944</v>
      </c>
      <c r="F6079" s="5">
        <v>0.67700000000000005</v>
      </c>
    </row>
    <row r="6080" spans="2:6" x14ac:dyDescent="0.2">
      <c r="B6080" s="9" t="s">
        <v>6963</v>
      </c>
      <c r="C6080" s="15" t="s">
        <v>6963</v>
      </c>
      <c r="D6080" s="12" t="str">
        <f>"1050-7256"</f>
        <v>1050-7256</v>
      </c>
      <c r="E6080" s="5">
        <v>6.5679999999999996</v>
      </c>
      <c r="F6080" s="5">
        <v>0.85499999999999998</v>
      </c>
    </row>
    <row r="6081" spans="2:6" x14ac:dyDescent="0.2">
      <c r="B6081" s="9" t="s">
        <v>12097</v>
      </c>
      <c r="C6081" s="15" t="s">
        <v>12098</v>
      </c>
      <c r="D6081" s="12" t="str">
        <f>"1877-959X"</f>
        <v>1877-959X</v>
      </c>
      <c r="E6081" s="5">
        <v>3.7440000000000002</v>
      </c>
      <c r="F6081" s="5">
        <v>0.76300000000000001</v>
      </c>
    </row>
    <row r="6082" spans="2:6" x14ac:dyDescent="0.2">
      <c r="B6082" s="9" t="s">
        <v>237</v>
      </c>
      <c r="C6082" s="15" t="s">
        <v>238</v>
      </c>
      <c r="D6082" s="12" t="str">
        <f>"0040-716X"</f>
        <v>0040-716X</v>
      </c>
      <c r="E6082" s="5">
        <v>0.39400000000000002</v>
      </c>
      <c r="F6082" s="5">
        <v>8.3000000000000004E-2</v>
      </c>
    </row>
    <row r="6083" spans="2:6" x14ac:dyDescent="0.2">
      <c r="B6083" s="9" t="s">
        <v>12099</v>
      </c>
      <c r="C6083" s="15" t="s">
        <v>12100</v>
      </c>
      <c r="D6083" s="12" t="str">
        <f>"1434-1220"</f>
        <v>1434-1220</v>
      </c>
      <c r="E6083" s="5">
        <v>0.48799999999999999</v>
      </c>
      <c r="F6083" s="5">
        <v>0.151</v>
      </c>
    </row>
    <row r="6084" spans="2:6" x14ac:dyDescent="0.2">
      <c r="B6084" s="9" t="s">
        <v>12101</v>
      </c>
      <c r="C6084" s="15" t="s">
        <v>12102</v>
      </c>
      <c r="D6084" s="12" t="str">
        <f>"1434-1239"</f>
        <v>1434-1239</v>
      </c>
      <c r="E6084" s="5">
        <v>0.59599999999999997</v>
      </c>
      <c r="F6084" s="5">
        <v>0.20499999999999999</v>
      </c>
    </row>
    <row r="6085" spans="2:6" x14ac:dyDescent="0.2">
      <c r="B6085" s="9" t="s">
        <v>6964</v>
      </c>
      <c r="C6085" s="15" t="s">
        <v>2883</v>
      </c>
      <c r="D6085" s="12" t="str">
        <f>"0049-3864"</f>
        <v>0049-3864</v>
      </c>
      <c r="E6085" s="5">
        <v>9.9000000000000005E-2</v>
      </c>
      <c r="F6085" s="5">
        <v>1.4E-2</v>
      </c>
    </row>
    <row r="6086" spans="2:6" x14ac:dyDescent="0.2">
      <c r="B6086" s="9" t="s">
        <v>239</v>
      </c>
      <c r="C6086" s="15" t="s">
        <v>240</v>
      </c>
      <c r="D6086" s="12" t="str">
        <f>"0961-463X"</f>
        <v>0961-463X</v>
      </c>
      <c r="E6086" s="5">
        <v>1.8089999999999999</v>
      </c>
      <c r="F6086" s="5">
        <v>0.43099999999999999</v>
      </c>
    </row>
    <row r="6087" spans="2:6" x14ac:dyDescent="0.2">
      <c r="B6087" s="9" t="s">
        <v>6965</v>
      </c>
      <c r="C6087" s="15" t="s">
        <v>2884</v>
      </c>
      <c r="D6087" s="12" t="str">
        <f>"0040-8166"</f>
        <v>0040-8166</v>
      </c>
      <c r="E6087" s="5">
        <v>2.4660000000000002</v>
      </c>
      <c r="F6087" s="5">
        <v>0.66700000000000004</v>
      </c>
    </row>
    <row r="6088" spans="2:6" x14ac:dyDescent="0.2">
      <c r="B6088" s="9" t="s">
        <v>12103</v>
      </c>
      <c r="C6088" s="15" t="s">
        <v>12104</v>
      </c>
      <c r="D6088" s="12" t="str">
        <f>"1937-3368"</f>
        <v>1937-3368</v>
      </c>
      <c r="E6088" s="5">
        <v>3.056</v>
      </c>
      <c r="F6088" s="5">
        <v>0.48299999999999998</v>
      </c>
    </row>
    <row r="6089" spans="2:6" x14ac:dyDescent="0.2">
      <c r="B6089" s="9" t="s">
        <v>241</v>
      </c>
      <c r="C6089" s="15" t="s">
        <v>242</v>
      </c>
      <c r="D6089" s="12" t="str">
        <f>"1738-2696"</f>
        <v>1738-2696</v>
      </c>
      <c r="E6089" s="5">
        <v>4.1689999999999996</v>
      </c>
      <c r="F6089" s="5">
        <v>0.70099999999999996</v>
      </c>
    </row>
    <row r="6090" spans="2:6" x14ac:dyDescent="0.2">
      <c r="B6090" s="9" t="s">
        <v>6966</v>
      </c>
      <c r="C6090" s="15" t="s">
        <v>2885</v>
      </c>
      <c r="D6090" s="12" t="str">
        <f>"0964-4563"</f>
        <v>0964-4563</v>
      </c>
      <c r="E6090" s="5">
        <v>7.5519999999999996</v>
      </c>
      <c r="F6090" s="5">
        <v>1</v>
      </c>
    </row>
    <row r="6091" spans="2:6" x14ac:dyDescent="0.2">
      <c r="B6091" s="9" t="s">
        <v>12105</v>
      </c>
      <c r="C6091" s="15" t="s">
        <v>12106</v>
      </c>
      <c r="D6091" s="12" t="str">
        <f>"1617-9625"</f>
        <v>1617-9625</v>
      </c>
      <c r="E6091" s="5">
        <v>2.6</v>
      </c>
      <c r="F6091" s="5">
        <v>0.53200000000000003</v>
      </c>
    </row>
    <row r="6092" spans="2:6" x14ac:dyDescent="0.2">
      <c r="B6092" s="9" t="s">
        <v>12107</v>
      </c>
      <c r="C6092" s="15" t="s">
        <v>12108</v>
      </c>
      <c r="D6092" s="12" t="str">
        <f>"2333-9748"</f>
        <v>2333-9748</v>
      </c>
      <c r="E6092" s="5">
        <v>1.5309999999999999</v>
      </c>
      <c r="F6092" s="5">
        <v>0.218</v>
      </c>
    </row>
    <row r="6093" spans="2:6" x14ac:dyDescent="0.2">
      <c r="B6093" s="9" t="s">
        <v>6967</v>
      </c>
      <c r="C6093" s="15" t="s">
        <v>2886</v>
      </c>
      <c r="D6093" s="12" t="str">
        <f>"0040-8727"</f>
        <v>0040-8727</v>
      </c>
      <c r="E6093" s="5">
        <v>1.8480000000000001</v>
      </c>
      <c r="F6093" s="5">
        <v>0.39500000000000002</v>
      </c>
    </row>
    <row r="6094" spans="2:6" x14ac:dyDescent="0.2">
      <c r="B6094" s="9" t="s">
        <v>12109</v>
      </c>
      <c r="C6094" s="15" t="s">
        <v>12110</v>
      </c>
      <c r="D6094" s="12" t="str">
        <f>"2379-1381"</f>
        <v>2379-1381</v>
      </c>
      <c r="E6094" s="5">
        <v>3.3580000000000001</v>
      </c>
      <c r="F6094" s="5">
        <v>0.60199999999999998</v>
      </c>
    </row>
    <row r="6095" spans="2:6" x14ac:dyDescent="0.2">
      <c r="B6095" s="9" t="s">
        <v>12111</v>
      </c>
      <c r="C6095" s="15" t="s">
        <v>12112</v>
      </c>
      <c r="D6095" s="12" t="str">
        <f>"0883-5691"</f>
        <v>0883-5691</v>
      </c>
      <c r="E6095" s="5">
        <v>0.50800000000000001</v>
      </c>
      <c r="F6095" s="5">
        <v>5.7000000000000002E-2</v>
      </c>
    </row>
    <row r="6096" spans="2:6" x14ac:dyDescent="0.2">
      <c r="B6096" s="9" t="s">
        <v>12113</v>
      </c>
      <c r="C6096" s="15" t="s">
        <v>12114</v>
      </c>
      <c r="D6096" s="12" t="str">
        <f>"1756-8757"</f>
        <v>1756-8757</v>
      </c>
      <c r="E6096" s="5">
        <v>3.3809999999999998</v>
      </c>
      <c r="F6096" s="5">
        <v>0.74399999999999999</v>
      </c>
    </row>
    <row r="6097" spans="2:6" x14ac:dyDescent="0.2">
      <c r="B6097" s="9" t="s">
        <v>12115</v>
      </c>
      <c r="C6097" s="15" t="s">
        <v>12116</v>
      </c>
      <c r="D6097" s="12" t="str">
        <f>"1938-9736"</f>
        <v>1938-9736</v>
      </c>
      <c r="E6097" s="5">
        <v>1.631</v>
      </c>
      <c r="F6097" s="5">
        <v>0.57499999999999996</v>
      </c>
    </row>
    <row r="6098" spans="2:6" x14ac:dyDescent="0.2">
      <c r="B6098" s="9" t="s">
        <v>243</v>
      </c>
      <c r="C6098" s="15" t="s">
        <v>244</v>
      </c>
      <c r="D6098" s="12" t="str">
        <f>"0882-7524"</f>
        <v>0882-7524</v>
      </c>
      <c r="E6098" s="5">
        <v>0.622</v>
      </c>
      <c r="F6098" s="5">
        <v>8.3000000000000004E-2</v>
      </c>
    </row>
    <row r="6099" spans="2:6" x14ac:dyDescent="0.2">
      <c r="B6099" s="9" t="s">
        <v>12117</v>
      </c>
      <c r="C6099" s="15" t="s">
        <v>12118</v>
      </c>
      <c r="D6099" s="12" t="str">
        <f>"2365-0869"</f>
        <v>2365-0869</v>
      </c>
      <c r="E6099" s="5">
        <v>9.06</v>
      </c>
      <c r="F6099" s="5">
        <v>0.86499999999999999</v>
      </c>
    </row>
    <row r="6100" spans="2:6" x14ac:dyDescent="0.2">
      <c r="B6100" s="9" t="s">
        <v>245</v>
      </c>
      <c r="C6100" s="15" t="s">
        <v>246</v>
      </c>
      <c r="D6100" s="12" t="str">
        <f>"0271-8294"</f>
        <v>0271-8294</v>
      </c>
      <c r="E6100" s="5">
        <v>1.484</v>
      </c>
      <c r="F6100" s="5">
        <v>0.59899999999999998</v>
      </c>
    </row>
    <row r="6101" spans="2:6" x14ac:dyDescent="0.2">
      <c r="B6101" s="9" t="s">
        <v>12119</v>
      </c>
      <c r="C6101" s="15" t="s">
        <v>12120</v>
      </c>
      <c r="D6101" s="12" t="str">
        <f>"1436-6002"</f>
        <v>1436-6002</v>
      </c>
      <c r="E6101" s="5">
        <v>1.3109999999999999</v>
      </c>
      <c r="F6101" s="5">
        <v>0.28100000000000003</v>
      </c>
    </row>
    <row r="6102" spans="2:6" x14ac:dyDescent="0.2">
      <c r="B6102" s="9" t="s">
        <v>247</v>
      </c>
      <c r="C6102" s="15" t="s">
        <v>248</v>
      </c>
      <c r="D6102" s="12" t="str">
        <f>"1074-9357"</f>
        <v>1074-9357</v>
      </c>
      <c r="E6102" s="5">
        <v>2.1190000000000002</v>
      </c>
      <c r="F6102" s="5">
        <v>0.47899999999999998</v>
      </c>
    </row>
    <row r="6103" spans="2:6" x14ac:dyDescent="0.2">
      <c r="B6103" s="9" t="s">
        <v>6968</v>
      </c>
      <c r="C6103" s="15" t="s">
        <v>2887</v>
      </c>
      <c r="D6103" s="12" t="str">
        <f>"0041-008X"</f>
        <v>0041-008X</v>
      </c>
      <c r="E6103" s="5">
        <v>4.2190000000000003</v>
      </c>
      <c r="F6103" s="5">
        <v>0.69899999999999995</v>
      </c>
    </row>
    <row r="6104" spans="2:6" x14ac:dyDescent="0.2">
      <c r="B6104" s="9" t="s">
        <v>12121</v>
      </c>
      <c r="C6104" s="15" t="s">
        <v>12122</v>
      </c>
      <c r="D6104" s="12" t="str">
        <f>"0277-2248"</f>
        <v>0277-2248</v>
      </c>
      <c r="E6104" s="5">
        <v>1.4370000000000001</v>
      </c>
      <c r="F6104" s="5">
        <v>0.13600000000000001</v>
      </c>
    </row>
    <row r="6105" spans="2:6" x14ac:dyDescent="0.2">
      <c r="B6105" s="9" t="s">
        <v>6970</v>
      </c>
      <c r="C6105" s="15" t="s">
        <v>2889</v>
      </c>
      <c r="D6105" s="12" t="str">
        <f>"0748-2337"</f>
        <v>0748-2337</v>
      </c>
      <c r="E6105" s="5">
        <v>2.2730000000000001</v>
      </c>
      <c r="F6105" s="5">
        <v>0.433</v>
      </c>
    </row>
    <row r="6106" spans="2:6" x14ac:dyDescent="0.2">
      <c r="B6106" s="9" t="s">
        <v>6969</v>
      </c>
      <c r="C6106" s="15" t="s">
        <v>2888</v>
      </c>
      <c r="D6106" s="12" t="str">
        <f>"0887-2333"</f>
        <v>0887-2333</v>
      </c>
      <c r="E6106" s="5">
        <v>3.5</v>
      </c>
      <c r="F6106" s="5">
        <v>0.54800000000000004</v>
      </c>
    </row>
    <row r="6107" spans="2:6" x14ac:dyDescent="0.2">
      <c r="B6107" s="9" t="s">
        <v>6971</v>
      </c>
      <c r="C6107" s="15" t="s">
        <v>2890</v>
      </c>
      <c r="D6107" s="12" t="str">
        <f>"0378-4274"</f>
        <v>0378-4274</v>
      </c>
      <c r="E6107" s="5">
        <v>4.3719999999999999</v>
      </c>
      <c r="F6107" s="5">
        <v>0.74199999999999999</v>
      </c>
    </row>
    <row r="6108" spans="2:6" x14ac:dyDescent="0.2">
      <c r="B6108" s="9" t="s">
        <v>6972</v>
      </c>
      <c r="C6108" s="15" t="s">
        <v>2891</v>
      </c>
      <c r="D6108" s="12" t="str">
        <f>"1537-6516"</f>
        <v>1537-6516</v>
      </c>
      <c r="E6108" s="5">
        <v>2.9870000000000001</v>
      </c>
      <c r="F6108" s="5">
        <v>0.34399999999999997</v>
      </c>
    </row>
    <row r="6109" spans="2:6" x14ac:dyDescent="0.2">
      <c r="B6109" s="9" t="s">
        <v>5708</v>
      </c>
      <c r="C6109" s="15" t="s">
        <v>5708</v>
      </c>
      <c r="D6109" s="12" t="str">
        <f>"0300-483X"</f>
        <v>0300-483X</v>
      </c>
      <c r="E6109" s="5">
        <v>4.2210000000000001</v>
      </c>
      <c r="F6109" s="5">
        <v>0.71</v>
      </c>
    </row>
    <row r="6110" spans="2:6" x14ac:dyDescent="0.2">
      <c r="B6110" s="9" t="s">
        <v>6973</v>
      </c>
      <c r="C6110" s="15" t="s">
        <v>2892</v>
      </c>
      <c r="D6110" s="12" t="str">
        <f>"1533-1601"</f>
        <v>1533-1601</v>
      </c>
      <c r="E6110" s="5">
        <v>1.9019999999999999</v>
      </c>
      <c r="F6110" s="5">
        <v>0.26</v>
      </c>
    </row>
    <row r="6111" spans="2:6" x14ac:dyDescent="0.2">
      <c r="B6111" s="9" t="s">
        <v>12123</v>
      </c>
      <c r="C6111" s="15" t="s">
        <v>12124</v>
      </c>
      <c r="D6111" s="12" t="str">
        <f>"2045-452X"</f>
        <v>2045-452X</v>
      </c>
      <c r="E6111" s="5">
        <v>3.524</v>
      </c>
      <c r="F6111" s="5">
        <v>0.55900000000000005</v>
      </c>
    </row>
    <row r="6112" spans="2:6" x14ac:dyDescent="0.2">
      <c r="B6112" s="9" t="s">
        <v>6974</v>
      </c>
      <c r="C6112" s="15" t="s">
        <v>2893</v>
      </c>
      <c r="D6112" s="12" t="str">
        <f>"1096-6080"</f>
        <v>1096-6080</v>
      </c>
      <c r="E6112" s="5">
        <v>4.8490000000000002</v>
      </c>
      <c r="F6112" s="5">
        <v>0.79600000000000004</v>
      </c>
    </row>
    <row r="6113" spans="2:6" x14ac:dyDescent="0.2">
      <c r="B6113" s="9" t="s">
        <v>6975</v>
      </c>
      <c r="C6113" s="15" t="s">
        <v>6975</v>
      </c>
      <c r="D6113" s="12" t="str">
        <f>"0041-0101"</f>
        <v>0041-0101</v>
      </c>
      <c r="E6113" s="5">
        <v>3.0329999999999999</v>
      </c>
      <c r="F6113" s="5">
        <v>0.41499999999999998</v>
      </c>
    </row>
    <row r="6114" spans="2:6" x14ac:dyDescent="0.2">
      <c r="B6114" s="9" t="s">
        <v>12125</v>
      </c>
      <c r="C6114" s="15" t="s">
        <v>12126</v>
      </c>
      <c r="D6114" s="12" t="str">
        <f>"2305-6304"</f>
        <v>2305-6304</v>
      </c>
      <c r="E6114" s="5">
        <v>4.1459999999999999</v>
      </c>
      <c r="F6114" s="5">
        <v>0.68799999999999994</v>
      </c>
    </row>
    <row r="6115" spans="2:6" x14ac:dyDescent="0.2">
      <c r="B6115" s="9" t="s">
        <v>6976</v>
      </c>
      <c r="C6115" s="15" t="s">
        <v>2894</v>
      </c>
      <c r="D6115" s="12" t="str">
        <f>"1556-9543"</f>
        <v>1556-9543</v>
      </c>
      <c r="E6115" s="5">
        <v>4.266</v>
      </c>
      <c r="F6115" s="5">
        <v>0.72</v>
      </c>
    </row>
    <row r="6116" spans="2:6" x14ac:dyDescent="0.2">
      <c r="B6116" s="9" t="s">
        <v>12127</v>
      </c>
      <c r="C6116" s="15" t="s">
        <v>12128</v>
      </c>
      <c r="D6116" s="12" t="str">
        <f>"2072-6651"</f>
        <v>2072-6651</v>
      </c>
      <c r="E6116" s="5">
        <v>4.5460000000000003</v>
      </c>
      <c r="F6116" s="5">
        <v>0.78500000000000003</v>
      </c>
    </row>
    <row r="6117" spans="2:6" x14ac:dyDescent="0.2">
      <c r="B6117" s="9" t="s">
        <v>6977</v>
      </c>
      <c r="C6117" s="15" t="s">
        <v>2895</v>
      </c>
      <c r="D6117" s="12" t="str">
        <f>"0946-2104"</f>
        <v>0946-2104</v>
      </c>
      <c r="E6117" s="5">
        <v>0.32900000000000001</v>
      </c>
      <c r="F6117" s="5">
        <v>2.1000000000000001E-2</v>
      </c>
    </row>
    <row r="6118" spans="2:6" x14ac:dyDescent="0.2">
      <c r="B6118" s="9" t="s">
        <v>6978</v>
      </c>
      <c r="C6118" s="15" t="s">
        <v>2896</v>
      </c>
      <c r="D6118" s="12" t="str">
        <f>"0165-9936"</f>
        <v>0165-9936</v>
      </c>
      <c r="E6118" s="5">
        <v>12.295999999999999</v>
      </c>
      <c r="F6118" s="5">
        <v>1</v>
      </c>
    </row>
    <row r="6119" spans="2:6" x14ac:dyDescent="0.2">
      <c r="B6119" s="9" t="s">
        <v>6979</v>
      </c>
      <c r="C6119" s="15" t="s">
        <v>6979</v>
      </c>
      <c r="D6119" s="12" t="str">
        <f>"1398-9219"</f>
        <v>1398-9219</v>
      </c>
      <c r="E6119" s="5">
        <v>6.2149999999999999</v>
      </c>
      <c r="F6119" s="5">
        <v>0.69899999999999995</v>
      </c>
    </row>
    <row r="6120" spans="2:6" x14ac:dyDescent="0.2">
      <c r="B6120" s="9" t="s">
        <v>12129</v>
      </c>
      <c r="C6120" s="15" t="s">
        <v>12130</v>
      </c>
      <c r="D6120" s="12" t="str">
        <f>"1538-9588"</f>
        <v>1538-9588</v>
      </c>
      <c r="E6120" s="5">
        <v>1.4910000000000001</v>
      </c>
      <c r="F6120" s="5">
        <v>0.191</v>
      </c>
    </row>
    <row r="6121" spans="2:6" x14ac:dyDescent="0.2">
      <c r="B6121" s="9" t="s">
        <v>12131</v>
      </c>
      <c r="C6121" s="15" t="s">
        <v>12132</v>
      </c>
      <c r="D6121" s="12" t="str">
        <f>"1931-3918"</f>
        <v>1931-3918</v>
      </c>
      <c r="E6121" s="5">
        <v>1.5629999999999999</v>
      </c>
      <c r="F6121" s="5">
        <v>0.183</v>
      </c>
    </row>
    <row r="6122" spans="2:6" x14ac:dyDescent="0.2">
      <c r="B6122" s="9" t="s">
        <v>12133</v>
      </c>
      <c r="C6122" s="15" t="s">
        <v>12134</v>
      </c>
      <c r="D6122" s="12" t="str">
        <f>"1406-0922"</f>
        <v>1406-0922</v>
      </c>
      <c r="E6122" s="5">
        <v>0.5</v>
      </c>
      <c r="F6122" s="5">
        <v>0.13800000000000001</v>
      </c>
    </row>
    <row r="6123" spans="2:6" x14ac:dyDescent="0.2">
      <c r="B6123" s="9" t="s">
        <v>249</v>
      </c>
      <c r="C6123" s="15" t="s">
        <v>250</v>
      </c>
      <c r="D6123" s="12" t="str">
        <f>"1865-1682"</f>
        <v>1865-1682</v>
      </c>
      <c r="E6123" s="5">
        <v>5.0049999999999999</v>
      </c>
      <c r="F6123" s="5">
        <v>0.97899999999999998</v>
      </c>
    </row>
    <row r="6124" spans="2:6" x14ac:dyDescent="0.2">
      <c r="B6124" s="9" t="s">
        <v>12135</v>
      </c>
      <c r="C6124" s="15" t="s">
        <v>12136</v>
      </c>
      <c r="D6124" s="12" t="str">
        <f>"1363-4615"</f>
        <v>1363-4615</v>
      </c>
      <c r="E6124" s="5">
        <v>2.2210000000000001</v>
      </c>
      <c r="F6124" s="5">
        <v>0.75</v>
      </c>
    </row>
    <row r="6125" spans="2:6" x14ac:dyDescent="0.2">
      <c r="B6125" s="9" t="s">
        <v>6980</v>
      </c>
      <c r="C6125" s="15" t="s">
        <v>2897</v>
      </c>
      <c r="D6125" s="12" t="str">
        <f>"1473-0502"</f>
        <v>1473-0502</v>
      </c>
      <c r="E6125" s="5">
        <v>1.764</v>
      </c>
      <c r="F6125" s="5">
        <v>0.11799999999999999</v>
      </c>
    </row>
    <row r="6126" spans="2:6" x14ac:dyDescent="0.2">
      <c r="B6126" s="9" t="s">
        <v>6981</v>
      </c>
      <c r="C6126" s="15" t="s">
        <v>2898</v>
      </c>
      <c r="D6126" s="12" t="str">
        <f>"1246-7820"</f>
        <v>1246-7820</v>
      </c>
      <c r="E6126" s="5">
        <v>1.4059999999999999</v>
      </c>
      <c r="F6126" s="5">
        <v>9.1999999999999998E-2</v>
      </c>
    </row>
    <row r="6127" spans="2:6" x14ac:dyDescent="0.2">
      <c r="B6127" s="9" t="s">
        <v>6984</v>
      </c>
      <c r="C6127" s="15" t="s">
        <v>6984</v>
      </c>
      <c r="D6127" s="12" t="str">
        <f>"0041-1132"</f>
        <v>0041-1132</v>
      </c>
      <c r="E6127" s="5">
        <v>3.157</v>
      </c>
      <c r="F6127" s="5">
        <v>0.44700000000000001</v>
      </c>
    </row>
    <row r="6128" spans="2:6" x14ac:dyDescent="0.2">
      <c r="B6128" s="9" t="s">
        <v>6985</v>
      </c>
      <c r="C6128" s="15" t="s">
        <v>2901</v>
      </c>
      <c r="D6128" s="12" t="str">
        <f>"0958-7578"</f>
        <v>0958-7578</v>
      </c>
      <c r="E6128" s="5">
        <v>2.0190000000000001</v>
      </c>
      <c r="F6128" s="5">
        <v>0.184</v>
      </c>
    </row>
    <row r="6129" spans="2:6" x14ac:dyDescent="0.2">
      <c r="B6129" s="9" t="s">
        <v>6982</v>
      </c>
      <c r="C6129" s="15" t="s">
        <v>2899</v>
      </c>
      <c r="D6129" s="12" t="str">
        <f>"1660-3796"</f>
        <v>1660-3796</v>
      </c>
      <c r="E6129" s="5">
        <v>3.7469999999999999</v>
      </c>
      <c r="F6129" s="5">
        <v>0.57899999999999996</v>
      </c>
    </row>
    <row r="6130" spans="2:6" x14ac:dyDescent="0.2">
      <c r="B6130" s="9" t="s">
        <v>6983</v>
      </c>
      <c r="C6130" s="15" t="s">
        <v>2900</v>
      </c>
      <c r="D6130" s="12" t="str">
        <f>"1532-9496"</f>
        <v>1532-9496</v>
      </c>
      <c r="E6130" s="5">
        <v>4.7240000000000002</v>
      </c>
      <c r="F6130" s="5">
        <v>0.67100000000000004</v>
      </c>
    </row>
    <row r="6131" spans="2:6" x14ac:dyDescent="0.2">
      <c r="B6131" s="9" t="s">
        <v>6986</v>
      </c>
      <c r="C6131" s="15" t="s">
        <v>2902</v>
      </c>
      <c r="D6131" s="12" t="str">
        <f>"0962-8819"</f>
        <v>0962-8819</v>
      </c>
      <c r="E6131" s="5">
        <v>2.7879999999999998</v>
      </c>
      <c r="F6131" s="5">
        <v>0.41599999999999998</v>
      </c>
    </row>
    <row r="6132" spans="2:6" x14ac:dyDescent="0.2">
      <c r="B6132" s="9" t="s">
        <v>12137</v>
      </c>
      <c r="C6132" s="15" t="s">
        <v>12138</v>
      </c>
      <c r="D6132" s="12" t="str">
        <f>"0103-3786"</f>
        <v>0103-3786</v>
      </c>
      <c r="E6132" s="5">
        <v>0.64800000000000002</v>
      </c>
      <c r="F6132" s="5">
        <v>0.16500000000000001</v>
      </c>
    </row>
    <row r="6133" spans="2:6" x14ac:dyDescent="0.2">
      <c r="B6133" s="9" t="s">
        <v>12139</v>
      </c>
      <c r="C6133" s="15" t="s">
        <v>12140</v>
      </c>
      <c r="D6133" s="12" t="str">
        <f>"2223-4683"</f>
        <v>2223-4683</v>
      </c>
      <c r="E6133" s="5">
        <v>3.15</v>
      </c>
      <c r="F6133" s="5">
        <v>0.625</v>
      </c>
    </row>
    <row r="6134" spans="2:6" x14ac:dyDescent="0.2">
      <c r="B6134" s="9" t="s">
        <v>12141</v>
      </c>
      <c r="C6134" s="15" t="s">
        <v>12142</v>
      </c>
      <c r="D6134" s="12" t="str">
        <f>"1613-9860"</f>
        <v>1613-9860</v>
      </c>
      <c r="E6134" s="5">
        <v>3.0459999999999998</v>
      </c>
      <c r="F6134" s="5">
        <v>0.65500000000000003</v>
      </c>
    </row>
    <row r="6135" spans="2:6" x14ac:dyDescent="0.2">
      <c r="B6135" s="9" t="s">
        <v>12143</v>
      </c>
      <c r="C6135" s="15" t="s">
        <v>12144</v>
      </c>
      <c r="D6135" s="12" t="str">
        <f>"2218-676X"</f>
        <v>2218-676X</v>
      </c>
      <c r="E6135" s="5">
        <v>1.2410000000000001</v>
      </c>
      <c r="F6135" s="5">
        <v>4.1000000000000002E-2</v>
      </c>
    </row>
    <row r="6136" spans="2:6" x14ac:dyDescent="0.2">
      <c r="B6136" s="9" t="s">
        <v>12145</v>
      </c>
      <c r="C6136" s="15" t="s">
        <v>12146</v>
      </c>
      <c r="D6136" s="12" t="str">
        <f>"2226-4477"</f>
        <v>2226-4477</v>
      </c>
      <c r="E6136" s="5">
        <v>6.4980000000000002</v>
      </c>
      <c r="F6136" s="5">
        <v>0.84399999999999997</v>
      </c>
    </row>
    <row r="6137" spans="2:6" x14ac:dyDescent="0.2">
      <c r="B6137" s="9" t="s">
        <v>12147</v>
      </c>
      <c r="C6137" s="15" t="s">
        <v>12148</v>
      </c>
      <c r="D6137" s="12" t="str">
        <f>"2047-9158"</f>
        <v>2047-9158</v>
      </c>
      <c r="E6137" s="5">
        <v>8.0139999999999993</v>
      </c>
      <c r="F6137" s="5">
        <v>0.90800000000000003</v>
      </c>
    </row>
    <row r="6138" spans="2:6" x14ac:dyDescent="0.2">
      <c r="B6138" s="9" t="s">
        <v>12149</v>
      </c>
      <c r="C6138" s="15" t="s">
        <v>12150</v>
      </c>
      <c r="D6138" s="12" t="str">
        <f>"2081-3856"</f>
        <v>2081-3856</v>
      </c>
      <c r="E6138" s="5">
        <v>1.7569999999999999</v>
      </c>
      <c r="F6138" s="5">
        <v>0.10299999999999999</v>
      </c>
    </row>
    <row r="6139" spans="2:6" x14ac:dyDescent="0.2">
      <c r="B6139" s="9" t="s">
        <v>12151</v>
      </c>
      <c r="C6139" s="15" t="s">
        <v>12152</v>
      </c>
      <c r="D6139" s="12" t="str">
        <f>"1936-5233"</f>
        <v>1936-5233</v>
      </c>
      <c r="E6139" s="5">
        <v>4.2430000000000003</v>
      </c>
      <c r="F6139" s="5">
        <v>0.51900000000000002</v>
      </c>
    </row>
    <row r="6140" spans="2:6" x14ac:dyDescent="0.2">
      <c r="B6140" s="9" t="s">
        <v>12153</v>
      </c>
      <c r="C6140" s="15" t="s">
        <v>12154</v>
      </c>
      <c r="D6140" s="12" t="str">
        <f>"2224-4336"</f>
        <v>2224-4336</v>
      </c>
      <c r="E6140" s="5">
        <v>2.488</v>
      </c>
      <c r="F6140" s="5">
        <v>0.58899999999999997</v>
      </c>
    </row>
    <row r="6141" spans="2:6" x14ac:dyDescent="0.2">
      <c r="B6141" s="9" t="s">
        <v>12155</v>
      </c>
      <c r="C6141" s="15" t="s">
        <v>12156</v>
      </c>
      <c r="D6141" s="12" t="str">
        <f>"2158-3188"</f>
        <v>2158-3188</v>
      </c>
      <c r="E6141" s="5">
        <v>6.2220000000000004</v>
      </c>
      <c r="F6141" s="5">
        <v>0.88400000000000001</v>
      </c>
    </row>
    <row r="6142" spans="2:6" x14ac:dyDescent="0.2">
      <c r="B6142" s="9" t="s">
        <v>6987</v>
      </c>
      <c r="C6142" s="15" t="s">
        <v>2903</v>
      </c>
      <c r="D6142" s="12" t="str">
        <f>"1931-5244"</f>
        <v>1931-5244</v>
      </c>
      <c r="E6142" s="5">
        <v>7.0119999999999996</v>
      </c>
      <c r="F6142" s="5">
        <v>0.96599999999999997</v>
      </c>
    </row>
    <row r="6143" spans="2:6" x14ac:dyDescent="0.2">
      <c r="B6143" s="9" t="s">
        <v>12157</v>
      </c>
      <c r="C6143" s="15" t="s">
        <v>12158</v>
      </c>
      <c r="D6143" s="12" t="str">
        <f>"1868-4483"</f>
        <v>1868-4483</v>
      </c>
      <c r="E6143" s="5">
        <v>6.8289999999999997</v>
      </c>
      <c r="F6143" s="5">
        <v>0.88900000000000001</v>
      </c>
    </row>
    <row r="6144" spans="2:6" x14ac:dyDescent="0.2">
      <c r="B6144" s="9" t="s">
        <v>12159</v>
      </c>
      <c r="C6144" s="15" t="s">
        <v>12160</v>
      </c>
      <c r="D6144" s="12" t="str">
        <f>"2164-2591"</f>
        <v>2164-2591</v>
      </c>
      <c r="E6144" s="5">
        <v>3.2829999999999999</v>
      </c>
      <c r="F6144" s="5">
        <v>0.71</v>
      </c>
    </row>
    <row r="6145" spans="2:6" x14ac:dyDescent="0.2">
      <c r="B6145" s="9" t="s">
        <v>4900</v>
      </c>
      <c r="C6145" s="15" t="s">
        <v>4900</v>
      </c>
      <c r="D6145" s="12" t="str">
        <f>"1534-6080"</f>
        <v>1534-6080</v>
      </c>
      <c r="E6145" s="5">
        <v>4.9390000000000001</v>
      </c>
      <c r="F6145" s="5">
        <v>0.88600000000000001</v>
      </c>
    </row>
    <row r="6146" spans="2:6" x14ac:dyDescent="0.2">
      <c r="B6146" s="9" t="s">
        <v>12161</v>
      </c>
      <c r="C6146" s="15" t="s">
        <v>12162</v>
      </c>
      <c r="D6146" s="12" t="str">
        <f>"0955-470X"</f>
        <v>0955-470X</v>
      </c>
      <c r="E6146" s="5">
        <v>3.9430000000000001</v>
      </c>
      <c r="F6146" s="5">
        <v>0.68</v>
      </c>
    </row>
    <row r="6147" spans="2:6" x14ac:dyDescent="0.2">
      <c r="B6147" s="9" t="s">
        <v>6988</v>
      </c>
      <c r="C6147" s="15" t="s">
        <v>2904</v>
      </c>
      <c r="D6147" s="12" t="str">
        <f>"0966-3274"</f>
        <v>0966-3274</v>
      </c>
      <c r="E6147" s="5">
        <v>1.708</v>
      </c>
      <c r="F6147" s="5">
        <v>0.28000000000000003</v>
      </c>
    </row>
    <row r="6148" spans="2:6" x14ac:dyDescent="0.2">
      <c r="B6148" s="9" t="s">
        <v>251</v>
      </c>
      <c r="C6148" s="15" t="s">
        <v>252</v>
      </c>
      <c r="D6148" s="12" t="str">
        <f>"1398-2273"</f>
        <v>1398-2273</v>
      </c>
      <c r="E6148" s="5">
        <v>2.2280000000000002</v>
      </c>
      <c r="F6148" s="5">
        <v>0.36</v>
      </c>
    </row>
    <row r="6149" spans="2:6" x14ac:dyDescent="0.2">
      <c r="B6149" s="9" t="s">
        <v>6989</v>
      </c>
      <c r="C6149" s="15" t="s">
        <v>2905</v>
      </c>
      <c r="D6149" s="12" t="str">
        <f>"0934-0874"</f>
        <v>0934-0874</v>
      </c>
      <c r="E6149" s="5">
        <v>3.782</v>
      </c>
      <c r="F6149" s="5">
        <v>0.77600000000000002</v>
      </c>
    </row>
    <row r="6150" spans="2:6" x14ac:dyDescent="0.2">
      <c r="B6150" s="9" t="s">
        <v>6990</v>
      </c>
      <c r="C6150" s="15" t="s">
        <v>2906</v>
      </c>
      <c r="D6150" s="12" t="str">
        <f>"0041-1345"</f>
        <v>0041-1345</v>
      </c>
      <c r="E6150" s="5">
        <v>1.0660000000000001</v>
      </c>
      <c r="F6150" s="5">
        <v>0.114</v>
      </c>
    </row>
    <row r="6151" spans="2:6" x14ac:dyDescent="0.2">
      <c r="B6151" s="9" t="s">
        <v>253</v>
      </c>
      <c r="C6151" s="15" t="s">
        <v>254</v>
      </c>
      <c r="D6151" s="12" t="str">
        <f>"1369-8478"</f>
        <v>1369-8478</v>
      </c>
      <c r="E6151" s="5">
        <v>3.2610000000000001</v>
      </c>
      <c r="F6151" s="5">
        <v>0.54200000000000004</v>
      </c>
    </row>
    <row r="6152" spans="2:6" x14ac:dyDescent="0.2">
      <c r="B6152" s="9" t="s">
        <v>12163</v>
      </c>
      <c r="C6152" s="15" t="s">
        <v>12164</v>
      </c>
      <c r="D6152" s="12" t="str">
        <f>"1477-8939"</f>
        <v>1477-8939</v>
      </c>
      <c r="E6152" s="5">
        <v>6.2110000000000003</v>
      </c>
      <c r="F6152" s="5">
        <v>0.92500000000000004</v>
      </c>
    </row>
    <row r="6153" spans="2:6" x14ac:dyDescent="0.2">
      <c r="B6153" s="9" t="s">
        <v>12165</v>
      </c>
      <c r="C6153" s="15" t="s">
        <v>12166</v>
      </c>
      <c r="D6153" s="12" t="str">
        <f>"1294-6303"</f>
        <v>1294-6303</v>
      </c>
      <c r="E6153" s="5">
        <v>0.20899999999999999</v>
      </c>
      <c r="F6153" s="5">
        <v>4.4999999999999998E-2</v>
      </c>
    </row>
    <row r="6154" spans="2:6" x14ac:dyDescent="0.2">
      <c r="B6154" s="9" t="s">
        <v>6991</v>
      </c>
      <c r="C6154" s="15" t="s">
        <v>2907</v>
      </c>
      <c r="D6154" s="12" t="str">
        <f>"0041-1868"</f>
        <v>0041-1868</v>
      </c>
      <c r="E6154" s="5">
        <v>0.4</v>
      </c>
      <c r="F6154" s="5">
        <v>6.3E-2</v>
      </c>
    </row>
    <row r="6155" spans="2:6" x14ac:dyDescent="0.2">
      <c r="B6155" s="9" t="s">
        <v>255</v>
      </c>
      <c r="C6155" s="15" t="s">
        <v>256</v>
      </c>
      <c r="D6155" s="12" t="str">
        <f>"1614-2942"</f>
        <v>1614-2942</v>
      </c>
      <c r="E6155" s="5">
        <v>2.2970000000000002</v>
      </c>
      <c r="F6155" s="5">
        <v>0.78400000000000003</v>
      </c>
    </row>
    <row r="6156" spans="2:6" x14ac:dyDescent="0.2">
      <c r="B6156" s="9" t="s">
        <v>6992</v>
      </c>
      <c r="C6156" s="15" t="s">
        <v>2908</v>
      </c>
      <c r="D6156" s="12" t="str">
        <f>"0968-0004"</f>
        <v>0968-0004</v>
      </c>
      <c r="E6156" s="5">
        <v>13.807</v>
      </c>
      <c r="F6156" s="5">
        <v>0.94899999999999995</v>
      </c>
    </row>
    <row r="6157" spans="2:6" x14ac:dyDescent="0.2">
      <c r="B6157" s="9" t="s">
        <v>6993</v>
      </c>
      <c r="C6157" s="15" t="s">
        <v>2909</v>
      </c>
      <c r="D6157" s="12" t="str">
        <f>"0167-7799"</f>
        <v>0167-7799</v>
      </c>
      <c r="E6157" s="5">
        <v>19.536000000000001</v>
      </c>
      <c r="F6157" s="5">
        <v>0.98699999999999999</v>
      </c>
    </row>
    <row r="6158" spans="2:6" x14ac:dyDescent="0.2">
      <c r="B6158" s="9" t="s">
        <v>12167</v>
      </c>
      <c r="C6158" s="15" t="s">
        <v>12168</v>
      </c>
      <c r="D6158" s="12" t="str">
        <f>"2405-8025"</f>
        <v>2405-8025</v>
      </c>
      <c r="E6158" s="5">
        <v>14.226000000000001</v>
      </c>
      <c r="F6158" s="5">
        <v>0.94599999999999995</v>
      </c>
    </row>
    <row r="6159" spans="2:6" x14ac:dyDescent="0.2">
      <c r="B6159" s="9" t="s">
        <v>6994</v>
      </c>
      <c r="C6159" s="15" t="s">
        <v>2910</v>
      </c>
      <c r="D6159" s="12" t="str">
        <f>"1050-1738"</f>
        <v>1050-1738</v>
      </c>
      <c r="E6159" s="5">
        <v>6.6769999999999996</v>
      </c>
      <c r="F6159" s="5">
        <v>0.85799999999999998</v>
      </c>
    </row>
    <row r="6160" spans="2:6" x14ac:dyDescent="0.2">
      <c r="B6160" s="9" t="s">
        <v>6995</v>
      </c>
      <c r="C6160" s="15" t="s">
        <v>2911</v>
      </c>
      <c r="D6160" s="12" t="str">
        <f>"0962-8924"</f>
        <v>0962-8924</v>
      </c>
      <c r="E6160" s="5">
        <v>20.808</v>
      </c>
      <c r="F6160" s="5">
        <v>0.95299999999999996</v>
      </c>
    </row>
    <row r="6161" spans="2:6" x14ac:dyDescent="0.2">
      <c r="B6161" s="9" t="s">
        <v>12169</v>
      </c>
      <c r="C6161" s="15" t="s">
        <v>12170</v>
      </c>
      <c r="D6161" s="12" t="str">
        <f>"2589-5974"</f>
        <v>2589-5974</v>
      </c>
      <c r="E6161" s="5">
        <v>24.081</v>
      </c>
      <c r="F6161" s="5">
        <v>0.96099999999999997</v>
      </c>
    </row>
    <row r="6162" spans="2:6" x14ac:dyDescent="0.2">
      <c r="B6162" s="9" t="s">
        <v>6996</v>
      </c>
      <c r="C6162" s="15" t="s">
        <v>2912</v>
      </c>
      <c r="D6162" s="12" t="str">
        <f>"1364-6613"</f>
        <v>1364-6613</v>
      </c>
      <c r="E6162" s="5">
        <v>20.228999999999999</v>
      </c>
      <c r="F6162" s="5">
        <v>1</v>
      </c>
    </row>
    <row r="6163" spans="2:6" x14ac:dyDescent="0.2">
      <c r="B6163" s="9" t="s">
        <v>6997</v>
      </c>
      <c r="C6163" s="15" t="s">
        <v>2913</v>
      </c>
      <c r="D6163" s="12" t="str">
        <f>"1872-8383"</f>
        <v>1872-8383</v>
      </c>
      <c r="E6163" s="5">
        <v>17.712</v>
      </c>
      <c r="F6163" s="5">
        <v>1</v>
      </c>
    </row>
    <row r="6164" spans="2:6" x14ac:dyDescent="0.2">
      <c r="B6164" s="9" t="s">
        <v>6998</v>
      </c>
      <c r="C6164" s="15" t="s">
        <v>2914</v>
      </c>
      <c r="D6164" s="12" t="str">
        <f>"1043-2760"</f>
        <v>1043-2760</v>
      </c>
      <c r="E6164" s="5">
        <v>12.015000000000001</v>
      </c>
      <c r="F6164" s="5">
        <v>0.95199999999999996</v>
      </c>
    </row>
    <row r="6165" spans="2:6" x14ac:dyDescent="0.2">
      <c r="B6165" s="9" t="s">
        <v>12171</v>
      </c>
      <c r="C6165" s="15" t="s">
        <v>12172</v>
      </c>
      <c r="D6165" s="12" t="str">
        <f>"2214-1588"</f>
        <v>2214-1588</v>
      </c>
      <c r="E6165" s="5">
        <v>9.6</v>
      </c>
      <c r="F6165" s="5">
        <v>0.95199999999999996</v>
      </c>
    </row>
    <row r="6166" spans="2:6" x14ac:dyDescent="0.2">
      <c r="B6166" s="9" t="s">
        <v>6999</v>
      </c>
      <c r="C6166" s="15" t="s">
        <v>2915</v>
      </c>
      <c r="D6166" s="12" t="str">
        <f>"0168-9525"</f>
        <v>0168-9525</v>
      </c>
      <c r="E6166" s="5">
        <v>11.638999999999999</v>
      </c>
      <c r="F6166" s="5">
        <v>0.96599999999999997</v>
      </c>
    </row>
    <row r="6167" spans="2:6" x14ac:dyDescent="0.2">
      <c r="B6167" s="9" t="s">
        <v>7000</v>
      </c>
      <c r="C6167" s="15" t="s">
        <v>2916</v>
      </c>
      <c r="D6167" s="12" t="str">
        <f>"0915-7352"</f>
        <v>0915-7352</v>
      </c>
      <c r="E6167" s="5">
        <v>1.083</v>
      </c>
      <c r="F6167" s="5">
        <v>4.3999999999999997E-2</v>
      </c>
    </row>
    <row r="6168" spans="2:6" x14ac:dyDescent="0.2">
      <c r="B6168" s="9" t="s">
        <v>12173</v>
      </c>
      <c r="C6168" s="15" t="s">
        <v>12174</v>
      </c>
      <c r="D6168" s="12" t="str">
        <f>"2331-2165"</f>
        <v>2331-2165</v>
      </c>
      <c r="E6168" s="5">
        <v>3.2930000000000001</v>
      </c>
      <c r="F6168" s="5">
        <v>0.96299999999999997</v>
      </c>
    </row>
    <row r="6169" spans="2:6" x14ac:dyDescent="0.2">
      <c r="B6169" s="9" t="s">
        <v>7001</v>
      </c>
      <c r="C6169" s="15" t="s">
        <v>2917</v>
      </c>
      <c r="D6169" s="12" t="str">
        <f>"1471-4906"</f>
        <v>1471-4906</v>
      </c>
      <c r="E6169" s="5">
        <v>16.687000000000001</v>
      </c>
      <c r="F6169" s="5">
        <v>0.96899999999999997</v>
      </c>
    </row>
    <row r="6170" spans="2:6" x14ac:dyDescent="0.2">
      <c r="B6170" s="9" t="s">
        <v>7002</v>
      </c>
      <c r="C6170" s="15" t="s">
        <v>2918</v>
      </c>
      <c r="D6170" s="12" t="str">
        <f>"0966-842X"</f>
        <v>0966-842X</v>
      </c>
      <c r="E6170" s="5">
        <v>17.079000000000001</v>
      </c>
      <c r="F6170" s="5">
        <v>0.98</v>
      </c>
    </row>
    <row r="6171" spans="2:6" x14ac:dyDescent="0.2">
      <c r="B6171" s="9" t="s">
        <v>7003</v>
      </c>
      <c r="C6171" s="15" t="s">
        <v>2919</v>
      </c>
      <c r="D6171" s="12" t="str">
        <f>"1471-4914"</f>
        <v>1471-4914</v>
      </c>
      <c r="E6171" s="5">
        <v>11.951000000000001</v>
      </c>
      <c r="F6171" s="5">
        <v>0.95</v>
      </c>
    </row>
    <row r="6172" spans="2:6" x14ac:dyDescent="0.2">
      <c r="B6172" s="9" t="s">
        <v>7004</v>
      </c>
      <c r="C6172" s="15" t="s">
        <v>2920</v>
      </c>
      <c r="D6172" s="12" t="str">
        <f>"0166-2236"</f>
        <v>0166-2236</v>
      </c>
      <c r="E6172" s="5">
        <v>13.837</v>
      </c>
      <c r="F6172" s="5">
        <v>0.97399999999999998</v>
      </c>
    </row>
    <row r="6173" spans="2:6" x14ac:dyDescent="0.2">
      <c r="B6173" s="9" t="s">
        <v>7005</v>
      </c>
      <c r="C6173" s="15" t="s">
        <v>2921</v>
      </c>
      <c r="D6173" s="12" t="str">
        <f>"1471-4922"</f>
        <v>1471-4922</v>
      </c>
      <c r="E6173" s="5">
        <v>9.0139999999999993</v>
      </c>
      <c r="F6173" s="5">
        <v>0.97399999999999998</v>
      </c>
    </row>
    <row r="6174" spans="2:6" x14ac:dyDescent="0.2">
      <c r="B6174" s="9" t="s">
        <v>7006</v>
      </c>
      <c r="C6174" s="15" t="s">
        <v>2922</v>
      </c>
      <c r="D6174" s="12" t="str">
        <f>"0165-6147"</f>
        <v>0165-6147</v>
      </c>
      <c r="E6174" s="5">
        <v>14.819000000000001</v>
      </c>
      <c r="F6174" s="5">
        <v>0.98499999999999999</v>
      </c>
    </row>
    <row r="6175" spans="2:6" x14ac:dyDescent="0.2">
      <c r="B6175" s="9" t="s">
        <v>7007</v>
      </c>
      <c r="C6175" s="15" t="s">
        <v>2923</v>
      </c>
      <c r="D6175" s="12" t="str">
        <f>"1745-6215"</f>
        <v>1745-6215</v>
      </c>
      <c r="E6175" s="5">
        <v>2.2789999999999999</v>
      </c>
      <c r="F6175" s="5">
        <v>0.23599999999999999</v>
      </c>
    </row>
    <row r="6176" spans="2:6" x14ac:dyDescent="0.2">
      <c r="B6176" s="9" t="s">
        <v>7008</v>
      </c>
      <c r="C6176" s="15" t="s">
        <v>2924</v>
      </c>
      <c r="D6176" s="12" t="str">
        <f>"0301-679X"</f>
        <v>0301-679X</v>
      </c>
      <c r="E6176" s="5">
        <v>4.8719999999999999</v>
      </c>
      <c r="F6176" s="5">
        <v>0.88</v>
      </c>
    </row>
    <row r="6177" spans="2:6" x14ac:dyDescent="0.2">
      <c r="B6177" s="9" t="s">
        <v>7009</v>
      </c>
      <c r="C6177" s="15" t="s">
        <v>2925</v>
      </c>
      <c r="D6177" s="12" t="str">
        <f>"1023-8883"</f>
        <v>1023-8883</v>
      </c>
      <c r="E6177" s="5">
        <v>3.1059999999999999</v>
      </c>
      <c r="F6177" s="5">
        <v>0.66900000000000004</v>
      </c>
    </row>
    <row r="6178" spans="2:6" x14ac:dyDescent="0.2">
      <c r="B6178" s="9" t="s">
        <v>7010</v>
      </c>
      <c r="C6178" s="15" t="s">
        <v>2926</v>
      </c>
      <c r="D6178" s="12" t="str">
        <f>"1040-2004"</f>
        <v>1040-2004</v>
      </c>
      <c r="E6178" s="5">
        <v>1.96</v>
      </c>
      <c r="F6178" s="5">
        <v>0.39800000000000002</v>
      </c>
    </row>
    <row r="6179" spans="2:6" x14ac:dyDescent="0.2">
      <c r="B6179" s="9" t="s">
        <v>7011</v>
      </c>
      <c r="C6179" s="15" t="s">
        <v>2927</v>
      </c>
      <c r="D6179" s="12" t="str">
        <f>"0049-4747"</f>
        <v>0049-4747</v>
      </c>
      <c r="E6179" s="5">
        <v>1.5589999999999999</v>
      </c>
      <c r="F6179" s="5">
        <v>0.53400000000000003</v>
      </c>
    </row>
    <row r="6180" spans="2:6" x14ac:dyDescent="0.2">
      <c r="B6180" s="9" t="s">
        <v>257</v>
      </c>
      <c r="C6180" s="15" t="s">
        <v>258</v>
      </c>
      <c r="D6180" s="12" t="str">
        <f>"0127-5720"</f>
        <v>0127-5720</v>
      </c>
      <c r="E6180" s="5">
        <v>0.623</v>
      </c>
      <c r="F6180" s="5">
        <v>0.13</v>
      </c>
    </row>
    <row r="6181" spans="2:6" x14ac:dyDescent="0.2">
      <c r="B6181" s="9" t="s">
        <v>7012</v>
      </c>
      <c r="C6181" s="15" t="s">
        <v>2928</v>
      </c>
      <c r="D6181" s="12" t="str">
        <f>"0049-4755"</f>
        <v>0049-4755</v>
      </c>
      <c r="E6181" s="5">
        <v>0.73099999999999998</v>
      </c>
      <c r="F6181" s="5">
        <v>0.17399999999999999</v>
      </c>
    </row>
    <row r="6182" spans="2:6" x14ac:dyDescent="0.2">
      <c r="B6182" s="9" t="s">
        <v>259</v>
      </c>
      <c r="C6182" s="15" t="s">
        <v>260</v>
      </c>
      <c r="D6182" s="12" t="str">
        <f>"1596-5996"</f>
        <v>1596-5996</v>
      </c>
      <c r="E6182" s="5">
        <v>0.53300000000000003</v>
      </c>
      <c r="F6182" s="5">
        <v>2.5000000000000001E-2</v>
      </c>
    </row>
    <row r="6183" spans="2:6" x14ac:dyDescent="0.2">
      <c r="B6183" s="9" t="s">
        <v>7013</v>
      </c>
      <c r="C6183" s="15" t="s">
        <v>2929</v>
      </c>
      <c r="D6183" s="12" t="str">
        <f>"1360-2276"</f>
        <v>1360-2276</v>
      </c>
      <c r="E6183" s="5">
        <v>2.6219999999999999</v>
      </c>
      <c r="F6183" s="5">
        <v>0.65200000000000002</v>
      </c>
    </row>
    <row r="6184" spans="2:6" x14ac:dyDescent="0.2">
      <c r="B6184" s="9" t="s">
        <v>7867</v>
      </c>
      <c r="C6184" s="15" t="s">
        <v>2863</v>
      </c>
      <c r="D6184" s="12" t="str">
        <f>"0372-1426"</f>
        <v>0372-1426</v>
      </c>
      <c r="E6184" s="5">
        <v>0.96799999999999997</v>
      </c>
      <c r="F6184" s="5">
        <v>0.20799999999999999</v>
      </c>
    </row>
    <row r="6185" spans="2:6" x14ac:dyDescent="0.2">
      <c r="B6185" s="9" t="s">
        <v>7868</v>
      </c>
      <c r="C6185" s="15" t="s">
        <v>2864</v>
      </c>
      <c r="D6185" s="12" t="str">
        <f>"0035-9203"</f>
        <v>0035-9203</v>
      </c>
      <c r="E6185" s="5">
        <v>2.1840000000000002</v>
      </c>
      <c r="F6185" s="5">
        <v>0.52200000000000002</v>
      </c>
    </row>
    <row r="6186" spans="2:6" x14ac:dyDescent="0.2">
      <c r="B6186" s="9" t="s">
        <v>7014</v>
      </c>
      <c r="C6186" s="15" t="s">
        <v>7014</v>
      </c>
      <c r="D6186" s="12" t="str">
        <f>"1873-281X"</f>
        <v>1873-281X</v>
      </c>
      <c r="E6186" s="5">
        <v>3.1309999999999998</v>
      </c>
      <c r="F6186" s="5">
        <v>0.48399999999999999</v>
      </c>
    </row>
    <row r="6187" spans="2:6" x14ac:dyDescent="0.2">
      <c r="B6187" s="9" t="s">
        <v>12175</v>
      </c>
      <c r="C6187" s="15" t="s">
        <v>12175</v>
      </c>
      <c r="D6187" s="12" t="str">
        <f>"2038-2529"</f>
        <v>2038-2529</v>
      </c>
      <c r="E6187" s="5">
        <v>2.0979999999999999</v>
      </c>
      <c r="F6187" s="5">
        <v>8.6999999999999994E-2</v>
      </c>
    </row>
    <row r="6188" spans="2:6" ht="25.5" x14ac:dyDescent="0.2">
      <c r="B6188" s="9" t="s">
        <v>12176</v>
      </c>
      <c r="C6188" s="15" t="s">
        <v>12177</v>
      </c>
      <c r="D6188" s="12" t="str">
        <f>"1301-5680"</f>
        <v>1301-5680</v>
      </c>
      <c r="E6188" s="5">
        <v>0.33200000000000002</v>
      </c>
      <c r="F6188" s="5">
        <v>0.01</v>
      </c>
    </row>
    <row r="6189" spans="2:6" x14ac:dyDescent="0.2">
      <c r="B6189" s="9" t="s">
        <v>7017</v>
      </c>
      <c r="C6189" s="15" t="s">
        <v>2932</v>
      </c>
      <c r="D6189" s="12" t="str">
        <f>"0041-4301"</f>
        <v>0041-4301</v>
      </c>
      <c r="E6189" s="5">
        <v>0.55200000000000005</v>
      </c>
      <c r="F6189" s="5">
        <v>3.9E-2</v>
      </c>
    </row>
    <row r="6190" spans="2:6" x14ac:dyDescent="0.2">
      <c r="B6190" s="9" t="s">
        <v>261</v>
      </c>
      <c r="C6190" s="15" t="s">
        <v>262</v>
      </c>
      <c r="D6190" s="12" t="str">
        <f>"0250-4685"</f>
        <v>0250-4685</v>
      </c>
      <c r="E6190" s="5">
        <v>0.40100000000000002</v>
      </c>
      <c r="F6190" s="5">
        <v>1.4E-2</v>
      </c>
    </row>
    <row r="6191" spans="2:6" x14ac:dyDescent="0.2">
      <c r="B6191" s="9" t="s">
        <v>12178</v>
      </c>
      <c r="C6191" s="15" t="s">
        <v>12179</v>
      </c>
      <c r="D6191" s="12" t="str">
        <f>"1300-0152"</f>
        <v>1300-0152</v>
      </c>
      <c r="E6191" s="5">
        <v>1.452</v>
      </c>
      <c r="F6191" s="5">
        <v>0.28000000000000003</v>
      </c>
    </row>
    <row r="6192" spans="2:6" x14ac:dyDescent="0.2">
      <c r="B6192" s="9" t="s">
        <v>7015</v>
      </c>
      <c r="C6192" s="15" t="s">
        <v>2930</v>
      </c>
      <c r="D6192" s="12" t="str">
        <f>"1300-0527"</f>
        <v>1300-0527</v>
      </c>
      <c r="E6192" s="5">
        <v>1.2390000000000001</v>
      </c>
      <c r="F6192" s="5">
        <v>0.23100000000000001</v>
      </c>
    </row>
    <row r="6193" spans="2:6" x14ac:dyDescent="0.2">
      <c r="B6193" s="9" t="s">
        <v>263</v>
      </c>
      <c r="C6193" s="15" t="s">
        <v>264</v>
      </c>
      <c r="D6193" s="12" t="str">
        <f>"2148-5607"</f>
        <v>2148-5607</v>
      </c>
      <c r="E6193" s="5">
        <v>1.8520000000000001</v>
      </c>
      <c r="F6193" s="5">
        <v>4.2999999999999997E-2</v>
      </c>
    </row>
    <row r="6194" spans="2:6" x14ac:dyDescent="0.2">
      <c r="B6194" s="9" t="s">
        <v>12180</v>
      </c>
      <c r="C6194" s="15" t="s">
        <v>12181</v>
      </c>
      <c r="D6194" s="12" t="str">
        <f>"1304-2947"</f>
        <v>1304-2947</v>
      </c>
      <c r="E6194" s="5">
        <v>0.38200000000000001</v>
      </c>
      <c r="F6194" s="5">
        <v>5.6000000000000001E-2</v>
      </c>
    </row>
    <row r="6195" spans="2:6" x14ac:dyDescent="0.2">
      <c r="B6195" s="9" t="s">
        <v>12182</v>
      </c>
      <c r="C6195" s="15" t="s">
        <v>12183</v>
      </c>
      <c r="D6195" s="12" t="str">
        <f>"1300-7777"</f>
        <v>1300-7777</v>
      </c>
      <c r="E6195" s="5">
        <v>1.831</v>
      </c>
      <c r="F6195" s="5">
        <v>0.14499999999999999</v>
      </c>
    </row>
    <row r="6196" spans="2:6" x14ac:dyDescent="0.2">
      <c r="B6196" s="9" t="s">
        <v>265</v>
      </c>
      <c r="C6196" s="15" t="s">
        <v>266</v>
      </c>
      <c r="D6196" s="12" t="str">
        <f>"1300-0144"</f>
        <v>1300-0144</v>
      </c>
      <c r="E6196" s="5">
        <v>0.97299999999999998</v>
      </c>
      <c r="F6196" s="5">
        <v>0.19800000000000001</v>
      </c>
    </row>
    <row r="6197" spans="2:6" x14ac:dyDescent="0.2">
      <c r="B6197" s="9" t="s">
        <v>12184</v>
      </c>
      <c r="C6197" s="15" t="s">
        <v>12185</v>
      </c>
      <c r="D6197" s="12" t="str">
        <f>"2587-0823"</f>
        <v>2587-0823</v>
      </c>
      <c r="E6197" s="5">
        <v>1.0780000000000001</v>
      </c>
      <c r="F6197" s="5">
        <v>9.1999999999999998E-2</v>
      </c>
    </row>
    <row r="6198" spans="2:6" x14ac:dyDescent="0.2">
      <c r="B6198" s="9" t="s">
        <v>7016</v>
      </c>
      <c r="C6198" s="15" t="s">
        <v>2931</v>
      </c>
      <c r="D6198" s="12" t="str">
        <f>"1300-0128"</f>
        <v>1300-0128</v>
      </c>
      <c r="E6198" s="5">
        <v>0.58099999999999996</v>
      </c>
      <c r="F6198" s="5">
        <v>0.192</v>
      </c>
    </row>
    <row r="6199" spans="2:6" x14ac:dyDescent="0.2">
      <c r="B6199" s="9" t="s">
        <v>267</v>
      </c>
      <c r="C6199" s="15" t="s">
        <v>268</v>
      </c>
      <c r="D6199" s="12" t="str">
        <f>"1019-5149"</f>
        <v>1019-5149</v>
      </c>
      <c r="E6199" s="5">
        <v>1.0029999999999999</v>
      </c>
      <c r="F6199" s="5">
        <v>0.1</v>
      </c>
    </row>
    <row r="6200" spans="2:6" x14ac:dyDescent="0.2">
      <c r="B6200" s="9" t="s">
        <v>269</v>
      </c>
      <c r="C6200" s="15" t="s">
        <v>270</v>
      </c>
      <c r="D6200" s="12" t="str">
        <f>"1300-2163"</f>
        <v>1300-2163</v>
      </c>
      <c r="E6200" s="5">
        <v>0.84</v>
      </c>
      <c r="F6200" s="5">
        <v>8.3000000000000004E-2</v>
      </c>
    </row>
    <row r="6201" spans="2:6" x14ac:dyDescent="0.2">
      <c r="B6201" s="9" t="s">
        <v>271</v>
      </c>
      <c r="C6201" s="15" t="s">
        <v>272</v>
      </c>
      <c r="D6201" s="12" t="str">
        <f>"1300-4433"</f>
        <v>1300-4433</v>
      </c>
      <c r="E6201" s="5">
        <v>0.23300000000000001</v>
      </c>
      <c r="F6201" s="5">
        <v>1.4E-2</v>
      </c>
    </row>
    <row r="6202" spans="2:6" x14ac:dyDescent="0.2">
      <c r="B6202" s="9" t="s">
        <v>7018</v>
      </c>
      <c r="C6202" s="15" t="s">
        <v>2933</v>
      </c>
      <c r="D6202" s="12" t="str">
        <f>"1832-4274"</f>
        <v>1832-4274</v>
      </c>
      <c r="E6202" s="5">
        <v>1.587</v>
      </c>
      <c r="F6202" s="5">
        <v>0.126</v>
      </c>
    </row>
    <row r="6203" spans="2:6" x14ac:dyDescent="0.2">
      <c r="B6203" s="9" t="s">
        <v>12186</v>
      </c>
      <c r="C6203" s="15" t="s">
        <v>12187</v>
      </c>
      <c r="D6203" s="12" t="str">
        <f>"1306-133X"</f>
        <v>1306-133X</v>
      </c>
      <c r="E6203" s="5">
        <v>0.2</v>
      </c>
      <c r="F6203" s="5">
        <v>1.2E-2</v>
      </c>
    </row>
    <row r="6204" spans="2:6" x14ac:dyDescent="0.2">
      <c r="B6204" s="9" t="s">
        <v>12188</v>
      </c>
      <c r="C6204" s="15" t="s">
        <v>12189</v>
      </c>
      <c r="D6204" s="12" t="str">
        <f>"1609-1833"</f>
        <v>1609-1833</v>
      </c>
      <c r="E6204" s="5">
        <v>0.78300000000000003</v>
      </c>
      <c r="F6204" s="5">
        <v>0.111</v>
      </c>
    </row>
    <row r="6205" spans="2:6" x14ac:dyDescent="0.2">
      <c r="B6205" s="9" t="s">
        <v>7019</v>
      </c>
      <c r="C6205" s="15" t="s">
        <v>7019</v>
      </c>
      <c r="D6205" s="12" t="str">
        <f>"0304-3991"</f>
        <v>0304-3991</v>
      </c>
      <c r="E6205" s="5">
        <v>2.6890000000000001</v>
      </c>
      <c r="F6205" s="5">
        <v>0.66700000000000004</v>
      </c>
    </row>
    <row r="6206" spans="2:6" x14ac:dyDescent="0.2">
      <c r="B6206" s="9" t="s">
        <v>7020</v>
      </c>
      <c r="C6206" s="15" t="s">
        <v>2934</v>
      </c>
      <c r="D6206" s="12" t="str">
        <f>"0172-4614"</f>
        <v>0172-4614</v>
      </c>
      <c r="E6206" s="5">
        <v>6.548</v>
      </c>
      <c r="F6206" s="5">
        <v>0.93500000000000005</v>
      </c>
    </row>
    <row r="6207" spans="2:6" x14ac:dyDescent="0.2">
      <c r="B6207" s="9" t="s">
        <v>7022</v>
      </c>
      <c r="C6207" s="15" t="s">
        <v>7022</v>
      </c>
      <c r="D6207" s="12" t="str">
        <f>"0161-7346"</f>
        <v>0161-7346</v>
      </c>
      <c r="E6207" s="5">
        <v>1.5780000000000001</v>
      </c>
      <c r="F6207" s="5">
        <v>0.41899999999999998</v>
      </c>
    </row>
    <row r="6208" spans="2:6" x14ac:dyDescent="0.2">
      <c r="B6208" s="9" t="s">
        <v>7023</v>
      </c>
      <c r="C6208" s="15" t="s">
        <v>7023</v>
      </c>
      <c r="D6208" s="12" t="str">
        <f>"0041-624X"</f>
        <v>0041-624X</v>
      </c>
      <c r="E6208" s="5">
        <v>2.89</v>
      </c>
      <c r="F6208" s="5">
        <v>0.77400000000000002</v>
      </c>
    </row>
    <row r="6209" spans="2:6" x14ac:dyDescent="0.2">
      <c r="B6209" s="9" t="s">
        <v>12190</v>
      </c>
      <c r="C6209" s="15" t="s">
        <v>12191</v>
      </c>
      <c r="D6209" s="12" t="str">
        <f>"2288-5919"</f>
        <v>2288-5919</v>
      </c>
      <c r="E6209" s="5">
        <v>3.6749999999999998</v>
      </c>
      <c r="F6209" s="5">
        <v>0.69199999999999995</v>
      </c>
    </row>
    <row r="6210" spans="2:6" x14ac:dyDescent="0.2">
      <c r="B6210" s="9" t="s">
        <v>7021</v>
      </c>
      <c r="C6210" s="15" t="s">
        <v>2935</v>
      </c>
      <c r="D6210" s="12" t="str">
        <f>"1350-4177"</f>
        <v>1350-4177</v>
      </c>
      <c r="E6210" s="5">
        <v>7.4909999999999997</v>
      </c>
      <c r="F6210" s="5">
        <v>1</v>
      </c>
    </row>
    <row r="6211" spans="2:6" x14ac:dyDescent="0.2">
      <c r="B6211" s="9" t="s">
        <v>7024</v>
      </c>
      <c r="C6211" s="15" t="s">
        <v>2936</v>
      </c>
      <c r="D6211" s="12" t="str">
        <f>"0301-5629"</f>
        <v>0301-5629</v>
      </c>
      <c r="E6211" s="5">
        <v>2.9980000000000002</v>
      </c>
      <c r="F6211" s="5">
        <v>0.80600000000000005</v>
      </c>
    </row>
    <row r="6212" spans="2:6" x14ac:dyDescent="0.2">
      <c r="B6212" s="9" t="s">
        <v>7025</v>
      </c>
      <c r="C6212" s="15" t="s">
        <v>2937</v>
      </c>
      <c r="D6212" s="12" t="str">
        <f>"0960-7692"</f>
        <v>0960-7692</v>
      </c>
      <c r="E6212" s="5">
        <v>7.2990000000000004</v>
      </c>
      <c r="F6212" s="5">
        <v>0.96799999999999997</v>
      </c>
    </row>
    <row r="6213" spans="2:6" x14ac:dyDescent="0.2">
      <c r="B6213" s="9" t="s">
        <v>12192</v>
      </c>
      <c r="C6213" s="15" t="s">
        <v>12193</v>
      </c>
      <c r="D6213" s="12" t="str">
        <f>"0894-8771"</f>
        <v>0894-8771</v>
      </c>
      <c r="E6213" s="5">
        <v>1.657</v>
      </c>
      <c r="F6213" s="5">
        <v>0.19500000000000001</v>
      </c>
    </row>
    <row r="6214" spans="2:6" x14ac:dyDescent="0.2">
      <c r="B6214" s="9" t="s">
        <v>7026</v>
      </c>
      <c r="C6214" s="15" t="s">
        <v>2938</v>
      </c>
      <c r="D6214" s="12" t="str">
        <f>"0191-3123"</f>
        <v>0191-3123</v>
      </c>
      <c r="E6214" s="5">
        <v>1.0940000000000001</v>
      </c>
      <c r="F6214" s="5">
        <v>0.14299999999999999</v>
      </c>
    </row>
    <row r="6215" spans="2:6" x14ac:dyDescent="0.2">
      <c r="B6215" s="9" t="s">
        <v>273</v>
      </c>
      <c r="C6215" s="15" t="s">
        <v>274</v>
      </c>
      <c r="D6215" s="12" t="str">
        <f>"1306-696X"</f>
        <v>1306-696X</v>
      </c>
      <c r="E6215" s="5">
        <v>0.97599999999999998</v>
      </c>
      <c r="F6215" s="5">
        <v>0.156</v>
      </c>
    </row>
    <row r="6216" spans="2:6" x14ac:dyDescent="0.2">
      <c r="B6216" s="9" t="s">
        <v>7027</v>
      </c>
      <c r="C6216" s="15" t="s">
        <v>12194</v>
      </c>
      <c r="D6216" s="12" t="str">
        <f>"1066-2936"</f>
        <v>1066-2936</v>
      </c>
      <c r="E6216" s="5">
        <v>0.69799999999999995</v>
      </c>
      <c r="F6216" s="5">
        <v>0.10100000000000001</v>
      </c>
    </row>
    <row r="6217" spans="2:6" x14ac:dyDescent="0.2">
      <c r="B6217" s="9" t="s">
        <v>7028</v>
      </c>
      <c r="C6217" s="15" t="s">
        <v>7028</v>
      </c>
      <c r="D6217" s="12" t="str">
        <f>"0177-5537"</f>
        <v>0177-5537</v>
      </c>
      <c r="E6217" s="5">
        <v>1</v>
      </c>
      <c r="F6217" s="5">
        <v>0.188</v>
      </c>
    </row>
    <row r="6218" spans="2:6" x14ac:dyDescent="0.2">
      <c r="B6218" s="9" t="s">
        <v>12195</v>
      </c>
      <c r="C6218" s="15" t="s">
        <v>12196</v>
      </c>
      <c r="D6218" s="12" t="str">
        <f>"2050-6406"</f>
        <v>2050-6406</v>
      </c>
      <c r="E6218" s="5">
        <v>4.6230000000000002</v>
      </c>
      <c r="F6218" s="5">
        <v>0.64100000000000001</v>
      </c>
    </row>
    <row r="6219" spans="2:6" x14ac:dyDescent="0.2">
      <c r="B6219" s="9" t="s">
        <v>12197</v>
      </c>
      <c r="C6219" s="15" t="s">
        <v>12198</v>
      </c>
      <c r="D6219" s="12" t="str">
        <f>"1657-9267"</f>
        <v>1657-9267</v>
      </c>
      <c r="E6219" s="5">
        <v>0.44600000000000001</v>
      </c>
      <c r="F6219" s="5">
        <v>3.5999999999999997E-2</v>
      </c>
    </row>
    <row r="6220" spans="2:6" x14ac:dyDescent="0.2">
      <c r="B6220" s="9" t="s">
        <v>12199</v>
      </c>
      <c r="C6220" s="15" t="s">
        <v>12200</v>
      </c>
      <c r="D6220" s="12" t="str">
        <f>"2038-131X"</f>
        <v>2038-131X</v>
      </c>
      <c r="E6220" s="5">
        <v>2.7970000000000002</v>
      </c>
      <c r="F6220" s="5">
        <v>0.61399999999999999</v>
      </c>
    </row>
    <row r="6221" spans="2:6" x14ac:dyDescent="0.2">
      <c r="B6221" s="9" t="s">
        <v>7029</v>
      </c>
      <c r="C6221" s="15" t="s">
        <v>2939</v>
      </c>
      <c r="D6221" s="12" t="str">
        <f>"0300-9734"</f>
        <v>0300-9734</v>
      </c>
      <c r="E6221" s="5">
        <v>2.3839999999999999</v>
      </c>
      <c r="F6221" s="5">
        <v>0.50900000000000001</v>
      </c>
    </row>
    <row r="6222" spans="2:6" x14ac:dyDescent="0.2">
      <c r="B6222" s="9" t="s">
        <v>7030</v>
      </c>
      <c r="C6222" s="15" t="s">
        <v>2940</v>
      </c>
      <c r="D6222" s="12" t="str">
        <f>"0094-0143"</f>
        <v>0094-0143</v>
      </c>
      <c r="E6222" s="5">
        <v>2.2410000000000001</v>
      </c>
      <c r="F6222" s="5">
        <v>0.30299999999999999</v>
      </c>
    </row>
    <row r="6223" spans="2:6" x14ac:dyDescent="0.2">
      <c r="B6223" s="9" t="s">
        <v>7031</v>
      </c>
      <c r="C6223" s="15" t="s">
        <v>2941</v>
      </c>
      <c r="D6223" s="12" t="str">
        <f>"0042-1138"</f>
        <v>0042-1138</v>
      </c>
      <c r="E6223" s="5">
        <v>2.089</v>
      </c>
      <c r="F6223" s="5">
        <v>0.28100000000000003</v>
      </c>
    </row>
    <row r="6224" spans="2:6" x14ac:dyDescent="0.2">
      <c r="B6224" s="9" t="s">
        <v>12201</v>
      </c>
      <c r="C6224" s="15" t="s">
        <v>12202</v>
      </c>
      <c r="D6224" s="12" t="str">
        <f>"2194-7236"</f>
        <v>2194-7236</v>
      </c>
      <c r="E6224" s="5">
        <v>3.4359999999999999</v>
      </c>
      <c r="F6224" s="5">
        <v>0.629</v>
      </c>
    </row>
    <row r="6225" spans="2:6" x14ac:dyDescent="0.2">
      <c r="B6225" s="9" t="s">
        <v>12203</v>
      </c>
      <c r="C6225" s="15" t="s">
        <v>12204</v>
      </c>
      <c r="D6225" s="12" t="str">
        <f>"1735-1308"</f>
        <v>1735-1308</v>
      </c>
      <c r="E6225" s="5">
        <v>1.51</v>
      </c>
      <c r="F6225" s="5">
        <v>0.14599999999999999</v>
      </c>
    </row>
    <row r="6226" spans="2:6" x14ac:dyDescent="0.2">
      <c r="B6226" s="9" t="s">
        <v>7033</v>
      </c>
      <c r="C6226" s="15" t="s">
        <v>7033</v>
      </c>
      <c r="D6226" s="12" t="str">
        <f>"0340-2592"</f>
        <v>0340-2592</v>
      </c>
      <c r="E6226" s="5">
        <v>0.63900000000000001</v>
      </c>
      <c r="F6226" s="5">
        <v>3.4000000000000002E-2</v>
      </c>
    </row>
    <row r="6227" spans="2:6" x14ac:dyDescent="0.2">
      <c r="B6227" s="9" t="s">
        <v>7034</v>
      </c>
      <c r="C6227" s="15" t="s">
        <v>7034</v>
      </c>
      <c r="D6227" s="12" t="str">
        <f>"0090-4295"</f>
        <v>0090-4295</v>
      </c>
      <c r="E6227" s="5">
        <v>2.649</v>
      </c>
      <c r="F6227" s="5">
        <v>0.42699999999999999</v>
      </c>
    </row>
    <row r="6228" spans="2:6" x14ac:dyDescent="0.2">
      <c r="B6228" s="9" t="s">
        <v>7032</v>
      </c>
      <c r="C6228" s="15" t="s">
        <v>2942</v>
      </c>
      <c r="D6228" s="12" t="str">
        <f>"1078-1439"</f>
        <v>1078-1439</v>
      </c>
      <c r="E6228" s="5">
        <v>3.4980000000000002</v>
      </c>
      <c r="F6228" s="5">
        <v>0.65200000000000002</v>
      </c>
    </row>
    <row r="6229" spans="2:6" x14ac:dyDescent="0.2">
      <c r="B6229" s="9" t="s">
        <v>7035</v>
      </c>
      <c r="C6229" s="15" t="s">
        <v>7035</v>
      </c>
      <c r="D6229" s="12" t="str">
        <f>"0315-3681"</f>
        <v>0315-3681</v>
      </c>
      <c r="E6229" s="5">
        <v>0.27900000000000003</v>
      </c>
      <c r="F6229" s="5">
        <v>8.0000000000000002E-3</v>
      </c>
    </row>
    <row r="6230" spans="2:6" x14ac:dyDescent="0.2">
      <c r="B6230" s="9" t="s">
        <v>7036</v>
      </c>
      <c r="C6230" s="15" t="s">
        <v>7036</v>
      </c>
      <c r="D6230" s="12" t="str">
        <f>"0264-410X"</f>
        <v>0264-410X</v>
      </c>
      <c r="E6230" s="5">
        <v>3.641</v>
      </c>
      <c r="F6230" s="5">
        <v>0.46400000000000002</v>
      </c>
    </row>
    <row r="6231" spans="2:6" x14ac:dyDescent="0.2">
      <c r="B6231" s="9" t="s">
        <v>12205</v>
      </c>
      <c r="C6231" s="15" t="s">
        <v>12206</v>
      </c>
      <c r="D6231" s="12" t="str">
        <f>"2076-393X"</f>
        <v>2076-393X</v>
      </c>
      <c r="E6231" s="5">
        <v>4.4219999999999997</v>
      </c>
      <c r="F6231" s="5">
        <v>0.55700000000000005</v>
      </c>
    </row>
    <row r="6232" spans="2:6" x14ac:dyDescent="0.2">
      <c r="B6232" s="9" t="s">
        <v>7037</v>
      </c>
      <c r="C6232" s="15" t="s">
        <v>2943</v>
      </c>
      <c r="D6232" s="12" t="str">
        <f>"1098-3015"</f>
        <v>1098-3015</v>
      </c>
      <c r="E6232" s="5">
        <v>5.7249999999999996</v>
      </c>
      <c r="F6232" s="5">
        <v>0.96599999999999997</v>
      </c>
    </row>
    <row r="6233" spans="2:6" x14ac:dyDescent="0.2">
      <c r="B6233" s="9" t="s">
        <v>12207</v>
      </c>
      <c r="C6233" s="15" t="s">
        <v>12208</v>
      </c>
      <c r="D6233" s="12" t="str">
        <f>"0301-1526"</f>
        <v>0301-1526</v>
      </c>
      <c r="E6233" s="5">
        <v>1.9610000000000001</v>
      </c>
      <c r="F6233" s="5">
        <v>0.185</v>
      </c>
    </row>
    <row r="6234" spans="2:6" x14ac:dyDescent="0.2">
      <c r="B6234" s="9" t="s">
        <v>12209</v>
      </c>
      <c r="C6234" s="15" t="s">
        <v>12210</v>
      </c>
      <c r="D6234" s="12" t="str">
        <f>"1538-5744"</f>
        <v>1538-5744</v>
      </c>
      <c r="E6234" s="5">
        <v>1.089</v>
      </c>
      <c r="F6234" s="5">
        <v>0.11899999999999999</v>
      </c>
    </row>
    <row r="6235" spans="2:6" x14ac:dyDescent="0.2">
      <c r="B6235" s="9" t="s">
        <v>7038</v>
      </c>
      <c r="C6235" s="15" t="s">
        <v>2944</v>
      </c>
      <c r="D6235" s="12" t="str">
        <f>"1358-863X"</f>
        <v>1358-863X</v>
      </c>
      <c r="E6235" s="5">
        <v>3.2389999999999999</v>
      </c>
      <c r="F6235" s="5">
        <v>0.53800000000000003</v>
      </c>
    </row>
    <row r="6236" spans="2:6" x14ac:dyDescent="0.2">
      <c r="B6236" s="9" t="s">
        <v>7039</v>
      </c>
      <c r="C6236" s="15" t="s">
        <v>2945</v>
      </c>
      <c r="D6236" s="12" t="str">
        <f>"1537-1891"</f>
        <v>1537-1891</v>
      </c>
      <c r="E6236" s="5">
        <v>5.7729999999999997</v>
      </c>
      <c r="F6236" s="5">
        <v>0.84399999999999997</v>
      </c>
    </row>
    <row r="6237" spans="2:6" x14ac:dyDescent="0.2">
      <c r="B6237" s="9" t="s">
        <v>12211</v>
      </c>
      <c r="C6237" s="15" t="s">
        <v>283</v>
      </c>
      <c r="D6237" s="12" t="str">
        <f>"1708-5381"</f>
        <v>1708-5381</v>
      </c>
      <c r="E6237" s="5">
        <v>1.2849999999999999</v>
      </c>
      <c r="F6237" s="5">
        <v>6.2E-2</v>
      </c>
    </row>
    <row r="6238" spans="2:6" x14ac:dyDescent="0.2">
      <c r="B6238" s="9" t="s">
        <v>7040</v>
      </c>
      <c r="C6238" s="15" t="s">
        <v>2946</v>
      </c>
      <c r="D6238" s="12" t="str">
        <f>"1557-7759"</f>
        <v>1557-7759</v>
      </c>
      <c r="E6238" s="5">
        <v>2.133</v>
      </c>
      <c r="F6238" s="5">
        <v>0.379</v>
      </c>
    </row>
    <row r="6239" spans="2:6" x14ac:dyDescent="0.2">
      <c r="B6239" s="9" t="s">
        <v>7041</v>
      </c>
      <c r="C6239" s="15" t="s">
        <v>2947</v>
      </c>
      <c r="D6239" s="12" t="str">
        <f>"0042-3114"</f>
        <v>0042-3114</v>
      </c>
      <c r="E6239" s="5">
        <v>4.665</v>
      </c>
      <c r="F6239" s="5">
        <v>0.872</v>
      </c>
    </row>
    <row r="6240" spans="2:6" x14ac:dyDescent="0.2">
      <c r="B6240" s="9" t="s">
        <v>7042</v>
      </c>
      <c r="C6240" s="15" t="s">
        <v>7042</v>
      </c>
      <c r="D6240" s="12" t="str">
        <f>"1016-6262"</f>
        <v>1016-6262</v>
      </c>
      <c r="E6240" s="5">
        <v>0.90500000000000003</v>
      </c>
      <c r="F6240" s="5">
        <v>0.106</v>
      </c>
    </row>
    <row r="6241" spans="2:6" x14ac:dyDescent="0.2">
      <c r="B6241" s="9" t="s">
        <v>7043</v>
      </c>
      <c r="C6241" s="15" t="s">
        <v>2948</v>
      </c>
      <c r="D6241" s="12" t="str">
        <f>"1467-2987"</f>
        <v>1467-2987</v>
      </c>
      <c r="E6241" s="5">
        <v>1.6479999999999999</v>
      </c>
      <c r="F6241" s="5">
        <v>0.58899999999999997</v>
      </c>
    </row>
    <row r="6242" spans="2:6" x14ac:dyDescent="0.2">
      <c r="B6242" s="9" t="s">
        <v>12212</v>
      </c>
      <c r="C6242" s="15" t="s">
        <v>12213</v>
      </c>
      <c r="D6242" s="12" t="str">
        <f>"0372-5480"</f>
        <v>0372-5480</v>
      </c>
      <c r="E6242" s="5">
        <v>0.496</v>
      </c>
      <c r="F6242" s="5">
        <v>0.16400000000000001</v>
      </c>
    </row>
    <row r="6243" spans="2:6" x14ac:dyDescent="0.2">
      <c r="B6243" s="9" t="s">
        <v>7044</v>
      </c>
      <c r="C6243" s="15" t="s">
        <v>2949</v>
      </c>
      <c r="D6243" s="12" t="str">
        <f>"0749-0739"</f>
        <v>0749-0739</v>
      </c>
      <c r="E6243" s="5">
        <v>1.792</v>
      </c>
      <c r="F6243" s="5">
        <v>0.64400000000000002</v>
      </c>
    </row>
    <row r="6244" spans="2:6" x14ac:dyDescent="0.2">
      <c r="B6244" s="9" t="s">
        <v>7045</v>
      </c>
      <c r="C6244" s="15" t="s">
        <v>2950</v>
      </c>
      <c r="D6244" s="12" t="str">
        <f>"0749-0720"</f>
        <v>0749-0720</v>
      </c>
      <c r="E6244" s="5">
        <v>3.3570000000000002</v>
      </c>
      <c r="F6244" s="5">
        <v>0.93200000000000005</v>
      </c>
    </row>
    <row r="6245" spans="2:6" x14ac:dyDescent="0.2">
      <c r="B6245" s="9" t="s">
        <v>7046</v>
      </c>
      <c r="C6245" s="15" t="s">
        <v>2951</v>
      </c>
      <c r="D6245" s="12" t="str">
        <f>"0195-5616"</f>
        <v>0195-5616</v>
      </c>
      <c r="E6245" s="5">
        <v>2.093</v>
      </c>
      <c r="F6245" s="5">
        <v>0.69899999999999995</v>
      </c>
    </row>
    <row r="6246" spans="2:6" x14ac:dyDescent="0.2">
      <c r="B6246" s="9" t="s">
        <v>7047</v>
      </c>
      <c r="C6246" s="15" t="s">
        <v>2952</v>
      </c>
      <c r="D6246" s="12" t="str">
        <f>"0275-6382"</f>
        <v>0275-6382</v>
      </c>
      <c r="E6246" s="5">
        <v>1.18</v>
      </c>
      <c r="F6246" s="5">
        <v>0.38400000000000001</v>
      </c>
    </row>
    <row r="6247" spans="2:6" x14ac:dyDescent="0.2">
      <c r="B6247" s="9" t="s">
        <v>12214</v>
      </c>
      <c r="C6247" s="15" t="s">
        <v>12215</v>
      </c>
      <c r="D6247" s="12" t="str">
        <f>"1476-5810"</f>
        <v>1476-5810</v>
      </c>
      <c r="E6247" s="5">
        <v>2.613</v>
      </c>
      <c r="F6247" s="5">
        <v>0.80800000000000005</v>
      </c>
    </row>
    <row r="6248" spans="2:6" x14ac:dyDescent="0.2">
      <c r="B6248" s="9" t="s">
        <v>7048</v>
      </c>
      <c r="C6248" s="15" t="s">
        <v>2953</v>
      </c>
      <c r="D6248" s="12" t="str">
        <f>"0932-0814"</f>
        <v>0932-0814</v>
      </c>
      <c r="E6248" s="5">
        <v>1.3580000000000001</v>
      </c>
      <c r="F6248" s="5">
        <v>0.44800000000000001</v>
      </c>
    </row>
    <row r="6249" spans="2:6" x14ac:dyDescent="0.2">
      <c r="B6249" s="9" t="s">
        <v>7049</v>
      </c>
      <c r="C6249" s="15" t="s">
        <v>2954</v>
      </c>
      <c r="D6249" s="12" t="str">
        <f>"0959-4493"</f>
        <v>0959-4493</v>
      </c>
      <c r="E6249" s="5">
        <v>1.589</v>
      </c>
      <c r="F6249" s="5">
        <v>0.55500000000000005</v>
      </c>
    </row>
    <row r="6250" spans="2:6" x14ac:dyDescent="0.2">
      <c r="B6250" s="9" t="s">
        <v>12216</v>
      </c>
      <c r="C6250" s="15" t="s">
        <v>12216</v>
      </c>
      <c r="D6250" s="12" t="str">
        <f>"2306-7381"</f>
        <v>2306-7381</v>
      </c>
      <c r="E6250" s="5">
        <v>2.3039999999999998</v>
      </c>
      <c r="F6250" s="5">
        <v>0.76700000000000002</v>
      </c>
    </row>
    <row r="6251" spans="2:6" x14ac:dyDescent="0.2">
      <c r="B6251" s="9" t="s">
        <v>7050</v>
      </c>
      <c r="C6251" s="15" t="s">
        <v>2955</v>
      </c>
      <c r="D6251" s="12" t="str">
        <f>"0165-2427"</f>
        <v>0165-2427</v>
      </c>
      <c r="E6251" s="5">
        <v>2.0459999999999998</v>
      </c>
      <c r="F6251" s="5">
        <v>0.69199999999999995</v>
      </c>
    </row>
    <row r="6252" spans="2:6" x14ac:dyDescent="0.2">
      <c r="B6252" s="9" t="s">
        <v>12217</v>
      </c>
      <c r="C6252" s="15" t="s">
        <v>12218</v>
      </c>
      <c r="D6252" s="12" t="str">
        <f>"1828-1427"</f>
        <v>1828-1427</v>
      </c>
      <c r="E6252" s="5">
        <v>1.101</v>
      </c>
      <c r="F6252" s="5">
        <v>0.36299999999999999</v>
      </c>
    </row>
    <row r="6253" spans="2:6" x14ac:dyDescent="0.2">
      <c r="B6253" s="9" t="s">
        <v>7051</v>
      </c>
      <c r="C6253" s="15" t="s">
        <v>2956</v>
      </c>
      <c r="D6253" s="12" t="str">
        <f>"1090-0233"</f>
        <v>1090-0233</v>
      </c>
      <c r="E6253" s="5">
        <v>2.6880000000000002</v>
      </c>
      <c r="F6253" s="5">
        <v>0.82899999999999996</v>
      </c>
    </row>
    <row r="6254" spans="2:6" x14ac:dyDescent="0.2">
      <c r="B6254" s="9" t="s">
        <v>7052</v>
      </c>
      <c r="C6254" s="15" t="s">
        <v>2957</v>
      </c>
      <c r="D6254" s="12" t="str">
        <f>"0375-8427"</f>
        <v>0375-8427</v>
      </c>
      <c r="E6254" s="5">
        <v>0.55800000000000005</v>
      </c>
      <c r="F6254" s="5">
        <v>0.185</v>
      </c>
    </row>
    <row r="6255" spans="2:6" x14ac:dyDescent="0.2">
      <c r="B6255" s="9" t="s">
        <v>12219</v>
      </c>
      <c r="C6255" s="15" t="s">
        <v>12220</v>
      </c>
      <c r="D6255" s="12" t="str">
        <f>"2053-1095"</f>
        <v>2053-1095</v>
      </c>
      <c r="E6255" s="5">
        <v>1.95</v>
      </c>
      <c r="F6255" s="5">
        <v>0.66400000000000003</v>
      </c>
    </row>
    <row r="6256" spans="2:6" x14ac:dyDescent="0.2">
      <c r="B6256" s="9" t="s">
        <v>12221</v>
      </c>
      <c r="C6256" s="15" t="s">
        <v>12222</v>
      </c>
      <c r="D6256" s="12" t="str">
        <f>"2448-6760"</f>
        <v>2448-6760</v>
      </c>
      <c r="E6256" s="5">
        <v>0.5</v>
      </c>
      <c r="F6256" s="5">
        <v>0.17100000000000001</v>
      </c>
    </row>
    <row r="6257" spans="2:6" x14ac:dyDescent="0.2">
      <c r="B6257" s="9" t="s">
        <v>7053</v>
      </c>
      <c r="C6257" s="15" t="s">
        <v>2958</v>
      </c>
      <c r="D6257" s="12" t="str">
        <f>"0378-1135"</f>
        <v>0378-1135</v>
      </c>
      <c r="E6257" s="5">
        <v>3.2930000000000001</v>
      </c>
      <c r="F6257" s="5">
        <v>0.91100000000000003</v>
      </c>
    </row>
    <row r="6258" spans="2:6" x14ac:dyDescent="0.2">
      <c r="B6258" s="9" t="s">
        <v>7054</v>
      </c>
      <c r="C6258" s="15" t="s">
        <v>2959</v>
      </c>
      <c r="D6258" s="12" t="str">
        <f>"1463-5216"</f>
        <v>1463-5216</v>
      </c>
      <c r="E6258" s="5">
        <v>1.6439999999999999</v>
      </c>
      <c r="F6258" s="5">
        <v>0.58199999999999996</v>
      </c>
    </row>
    <row r="6259" spans="2:6" x14ac:dyDescent="0.2">
      <c r="B6259" s="9" t="s">
        <v>7055</v>
      </c>
      <c r="C6259" s="15" t="s">
        <v>2960</v>
      </c>
      <c r="D6259" s="12" t="str">
        <f>"1873-2550"</f>
        <v>1873-2550</v>
      </c>
      <c r="E6259" s="5">
        <v>2.738</v>
      </c>
      <c r="F6259" s="5">
        <v>0.84899999999999998</v>
      </c>
    </row>
    <row r="6260" spans="2:6" x14ac:dyDescent="0.2">
      <c r="B6260" s="9" t="s">
        <v>7056</v>
      </c>
      <c r="C6260" s="15" t="s">
        <v>2961</v>
      </c>
      <c r="D6260" s="12" t="str">
        <f>"1544-2217"</f>
        <v>1544-2217</v>
      </c>
      <c r="E6260" s="5">
        <v>2.2210000000000001</v>
      </c>
      <c r="F6260" s="5">
        <v>0.73299999999999998</v>
      </c>
    </row>
    <row r="6261" spans="2:6" x14ac:dyDescent="0.2">
      <c r="B6261" s="9" t="s">
        <v>7057</v>
      </c>
      <c r="C6261" s="15" t="s">
        <v>2962</v>
      </c>
      <c r="D6261" s="12" t="str">
        <f>"0165-2176"</f>
        <v>0165-2176</v>
      </c>
      <c r="E6261" s="5">
        <v>3.32</v>
      </c>
      <c r="F6261" s="5">
        <v>0.91800000000000004</v>
      </c>
    </row>
    <row r="6262" spans="2:6" x14ac:dyDescent="0.2">
      <c r="B6262" s="9" t="s">
        <v>7058</v>
      </c>
      <c r="C6262" s="15" t="s">
        <v>2963</v>
      </c>
      <c r="D6262" s="12" t="str">
        <f>"1058-8183"</f>
        <v>1058-8183</v>
      </c>
      <c r="E6262" s="5">
        <v>1.363</v>
      </c>
      <c r="F6262" s="5">
        <v>0.45200000000000001</v>
      </c>
    </row>
    <row r="6263" spans="2:6" x14ac:dyDescent="0.2">
      <c r="B6263" s="9" t="s">
        <v>7059</v>
      </c>
      <c r="C6263" s="15" t="s">
        <v>2964</v>
      </c>
      <c r="D6263" s="12" t="str">
        <f>"0042-4900"</f>
        <v>0042-4900</v>
      </c>
      <c r="E6263" s="5">
        <v>2.6949999999999998</v>
      </c>
      <c r="F6263" s="5">
        <v>0.83599999999999997</v>
      </c>
    </row>
    <row r="6264" spans="2:6" x14ac:dyDescent="0.2">
      <c r="B6264" s="9" t="s">
        <v>7060</v>
      </c>
      <c r="C6264" s="15" t="s">
        <v>2965</v>
      </c>
      <c r="D6264" s="12" t="str">
        <f>"1297-9716"</f>
        <v>1297-9716</v>
      </c>
      <c r="E6264" s="5">
        <v>3.6829999999999998</v>
      </c>
      <c r="F6264" s="5">
        <v>0.95899999999999996</v>
      </c>
    </row>
    <row r="6265" spans="2:6" x14ac:dyDescent="0.2">
      <c r="B6265" s="9" t="s">
        <v>7061</v>
      </c>
      <c r="C6265" s="15" t="s">
        <v>2966</v>
      </c>
      <c r="D6265" s="12" t="str">
        <f>"0165-7380"</f>
        <v>0165-7380</v>
      </c>
      <c r="E6265" s="5">
        <v>2.4590000000000001</v>
      </c>
      <c r="F6265" s="5">
        <v>0.78800000000000003</v>
      </c>
    </row>
    <row r="6266" spans="2:6" x14ac:dyDescent="0.2">
      <c r="B6266" s="9" t="s">
        <v>7062</v>
      </c>
      <c r="C6266" s="15" t="s">
        <v>2967</v>
      </c>
      <c r="D6266" s="12" t="str">
        <f>"0161-3499"</f>
        <v>0161-3499</v>
      </c>
      <c r="E6266" s="5">
        <v>1.4950000000000001</v>
      </c>
      <c r="F6266" s="5">
        <v>0.5</v>
      </c>
    </row>
    <row r="6267" spans="2:6" x14ac:dyDescent="0.2">
      <c r="B6267" s="9" t="s">
        <v>7063</v>
      </c>
      <c r="C6267" s="15" t="s">
        <v>2968</v>
      </c>
      <c r="D6267" s="12" t="str">
        <f>"0924-2031"</f>
        <v>0924-2031</v>
      </c>
      <c r="E6267" s="5">
        <v>2.5070000000000001</v>
      </c>
      <c r="F6267" s="5">
        <v>0.65100000000000002</v>
      </c>
    </row>
    <row r="6268" spans="2:6" x14ac:dyDescent="0.2">
      <c r="B6268" s="9" t="s">
        <v>12223</v>
      </c>
      <c r="C6268" s="15" t="s">
        <v>12224</v>
      </c>
      <c r="D6268" s="12" t="str">
        <f>"1895-4588"</f>
        <v>1895-4588</v>
      </c>
      <c r="E6268" s="5">
        <v>1.1950000000000001</v>
      </c>
      <c r="F6268" s="5">
        <v>0.14299999999999999</v>
      </c>
    </row>
    <row r="6269" spans="2:6" x14ac:dyDescent="0.2">
      <c r="B6269" s="9" t="s">
        <v>275</v>
      </c>
      <c r="C6269" s="15" t="s">
        <v>276</v>
      </c>
      <c r="D6269" s="12" t="str">
        <f>"1077-8012"</f>
        <v>1077-8012</v>
      </c>
      <c r="E6269" s="5">
        <v>2.3279999999999998</v>
      </c>
      <c r="F6269" s="5">
        <v>0.75</v>
      </c>
    </row>
    <row r="6270" spans="2:6" x14ac:dyDescent="0.2">
      <c r="B6270" s="9" t="s">
        <v>7064</v>
      </c>
      <c r="C6270" s="15" t="s">
        <v>2969</v>
      </c>
      <c r="D6270" s="12" t="str">
        <f>"0882-8245"</f>
        <v>0882-8245</v>
      </c>
      <c r="E6270" s="5">
        <v>2.2570000000000001</v>
      </c>
      <c r="F6270" s="5">
        <v>0.222</v>
      </c>
    </row>
    <row r="6271" spans="2:6" x14ac:dyDescent="0.2">
      <c r="B6271" s="9" t="s">
        <v>7065</v>
      </c>
      <c r="C6271" s="15" t="s">
        <v>2970</v>
      </c>
      <c r="D6271" s="12" t="str">
        <f>"0945-6317"</f>
        <v>0945-6317</v>
      </c>
      <c r="E6271" s="5">
        <v>4.0640000000000001</v>
      </c>
      <c r="F6271" s="5">
        <v>0.71399999999999997</v>
      </c>
    </row>
    <row r="6272" spans="2:6" x14ac:dyDescent="0.2">
      <c r="B6272" s="9" t="s">
        <v>277</v>
      </c>
      <c r="C6272" s="15" t="s">
        <v>278</v>
      </c>
      <c r="D6272" s="12" t="str">
        <f>"1743-422X"</f>
        <v>1743-422X</v>
      </c>
      <c r="E6272" s="5">
        <v>4.0990000000000002</v>
      </c>
      <c r="F6272" s="5">
        <v>0.61099999999999999</v>
      </c>
    </row>
    <row r="6273" spans="2:6" x14ac:dyDescent="0.2">
      <c r="B6273" s="9" t="s">
        <v>12225</v>
      </c>
      <c r="C6273" s="15" t="s">
        <v>12225</v>
      </c>
      <c r="D6273" s="12" t="str">
        <f>"1267-8694"</f>
        <v>1267-8694</v>
      </c>
      <c r="E6273" s="5">
        <v>0.47399999999999998</v>
      </c>
      <c r="F6273" s="5">
        <v>2.8000000000000001E-2</v>
      </c>
    </row>
    <row r="6274" spans="2:6" x14ac:dyDescent="0.2">
      <c r="B6274" s="9" t="s">
        <v>5657</v>
      </c>
      <c r="C6274" s="15" t="s">
        <v>5657</v>
      </c>
      <c r="D6274" s="12" t="str">
        <f>"1096-0341"</f>
        <v>1096-0341</v>
      </c>
      <c r="E6274" s="5">
        <v>3.6160000000000001</v>
      </c>
      <c r="F6274" s="5">
        <v>0.5</v>
      </c>
    </row>
    <row r="6275" spans="2:6" x14ac:dyDescent="0.2">
      <c r="B6275" s="9" t="s">
        <v>12226</v>
      </c>
      <c r="C6275" s="15" t="s">
        <v>12227</v>
      </c>
      <c r="D6275" s="12" t="str">
        <f>"1674-0769"</f>
        <v>1674-0769</v>
      </c>
      <c r="E6275" s="5">
        <v>4.327</v>
      </c>
      <c r="F6275" s="5">
        <v>0.66700000000000004</v>
      </c>
    </row>
    <row r="6276" spans="2:6" x14ac:dyDescent="0.2">
      <c r="B6276" s="9" t="s">
        <v>12228</v>
      </c>
      <c r="C6276" s="15" t="s">
        <v>12229</v>
      </c>
      <c r="D6276" s="12" t="str">
        <f>"1434-9957"</f>
        <v>1434-9957</v>
      </c>
      <c r="E6276" s="5">
        <v>5.0949999999999998</v>
      </c>
      <c r="F6276" s="5">
        <v>0.91700000000000004</v>
      </c>
    </row>
    <row r="6277" spans="2:6" x14ac:dyDescent="0.2">
      <c r="B6277" s="9" t="s">
        <v>12230</v>
      </c>
      <c r="C6277" s="15" t="s">
        <v>12231</v>
      </c>
      <c r="D6277" s="12" t="str">
        <f>"2150-5608"</f>
        <v>2150-5608</v>
      </c>
      <c r="E6277" s="5">
        <v>5.8819999999999997</v>
      </c>
      <c r="F6277" s="5">
        <v>0.88</v>
      </c>
    </row>
    <row r="6278" spans="2:6" x14ac:dyDescent="0.2">
      <c r="B6278" s="9" t="s">
        <v>12232</v>
      </c>
      <c r="C6278" s="15" t="s">
        <v>12233</v>
      </c>
      <c r="D6278" s="12" t="str">
        <f>"1999-4915"</f>
        <v>1999-4915</v>
      </c>
      <c r="E6278" s="5">
        <v>5.048</v>
      </c>
      <c r="F6278" s="5">
        <v>0.75</v>
      </c>
    </row>
    <row r="6279" spans="2:6" x14ac:dyDescent="0.2">
      <c r="B6279" s="9" t="s">
        <v>12234</v>
      </c>
      <c r="C6279" s="15" t="s">
        <v>12235</v>
      </c>
      <c r="D6279" s="12" t="str">
        <f>"2057-1577"</f>
        <v>2057-1577</v>
      </c>
      <c r="E6279" s="5">
        <v>7.9889999999999999</v>
      </c>
      <c r="F6279" s="5">
        <v>0.91700000000000004</v>
      </c>
    </row>
    <row r="6280" spans="2:6" x14ac:dyDescent="0.2">
      <c r="B6280" s="9" t="s">
        <v>7066</v>
      </c>
      <c r="C6280" s="15" t="s">
        <v>7066</v>
      </c>
      <c r="D6280" s="12" t="str">
        <f>"0920-8569"</f>
        <v>0920-8569</v>
      </c>
      <c r="E6280" s="5">
        <v>2.3319999999999999</v>
      </c>
      <c r="F6280" s="5">
        <v>0.30299999999999999</v>
      </c>
    </row>
    <row r="6281" spans="2:6" x14ac:dyDescent="0.2">
      <c r="B6281" s="9" t="s">
        <v>7067</v>
      </c>
      <c r="C6281" s="15" t="s">
        <v>2971</v>
      </c>
      <c r="D6281" s="12" t="str">
        <f>"0168-1702"</f>
        <v>0168-1702</v>
      </c>
      <c r="E6281" s="5">
        <v>3.3029999999999999</v>
      </c>
      <c r="F6281" s="5">
        <v>0.44400000000000001</v>
      </c>
    </row>
    <row r="6282" spans="2:6" x14ac:dyDescent="0.2">
      <c r="B6282" s="9" t="s">
        <v>12236</v>
      </c>
      <c r="C6282" s="15" t="s">
        <v>12237</v>
      </c>
      <c r="D6282" s="12" t="str">
        <f>"2297-4725"</f>
        <v>2297-4725</v>
      </c>
      <c r="E6282" s="5">
        <v>1.96</v>
      </c>
      <c r="F6282" s="5">
        <v>0.371</v>
      </c>
    </row>
    <row r="6283" spans="2:6" x14ac:dyDescent="0.2">
      <c r="B6283" s="9" t="s">
        <v>279</v>
      </c>
      <c r="C6283" s="15" t="s">
        <v>280</v>
      </c>
      <c r="D6283" s="12" t="str">
        <f>"1350-6285"</f>
        <v>1350-6285</v>
      </c>
      <c r="E6283" s="5">
        <v>1.875</v>
      </c>
      <c r="F6283" s="5">
        <v>0.3</v>
      </c>
    </row>
    <row r="6284" spans="2:6" x14ac:dyDescent="0.2">
      <c r="B6284" s="9" t="s">
        <v>7068</v>
      </c>
      <c r="C6284" s="15" t="s">
        <v>2972</v>
      </c>
      <c r="D6284" s="12" t="str">
        <f>"0042-6989"</f>
        <v>0042-6989</v>
      </c>
      <c r="E6284" s="5">
        <v>1.8859999999999999</v>
      </c>
      <c r="F6284" s="5">
        <v>0.27400000000000002</v>
      </c>
    </row>
    <row r="6285" spans="2:6" x14ac:dyDescent="0.2">
      <c r="B6285" s="9" t="s">
        <v>7069</v>
      </c>
      <c r="C6285" s="15" t="s">
        <v>2973</v>
      </c>
      <c r="D6285" s="12" t="str">
        <f>"0952-5238"</f>
        <v>0952-5238</v>
      </c>
      <c r="E6285" s="5">
        <v>3.2410000000000001</v>
      </c>
      <c r="F6285" s="5">
        <v>0.66100000000000003</v>
      </c>
    </row>
    <row r="6286" spans="2:6" x14ac:dyDescent="0.2">
      <c r="B6286" s="9" t="s">
        <v>7070</v>
      </c>
      <c r="C6286" s="15" t="s">
        <v>12238</v>
      </c>
      <c r="D6286" s="12" t="str">
        <f>"0083-6729"</f>
        <v>0083-6729</v>
      </c>
      <c r="E6286" s="5">
        <v>3.4209999999999998</v>
      </c>
      <c r="F6286" s="5">
        <v>0.39900000000000002</v>
      </c>
    </row>
    <row r="6287" spans="2:6" x14ac:dyDescent="0.2">
      <c r="B6287" s="9" t="s">
        <v>7071</v>
      </c>
      <c r="C6287" s="15" t="s">
        <v>2974</v>
      </c>
      <c r="D6287" s="12" t="str">
        <f>"0303-9021"</f>
        <v>0303-9021</v>
      </c>
      <c r="E6287" s="5">
        <v>0.36899999999999999</v>
      </c>
      <c r="F6287" s="5">
        <v>0.10299999999999999</v>
      </c>
    </row>
    <row r="6288" spans="2:6" x14ac:dyDescent="0.2">
      <c r="B6288" s="9" t="s">
        <v>12239</v>
      </c>
      <c r="C6288" s="15" t="s">
        <v>12240</v>
      </c>
      <c r="D6288" s="12" t="str">
        <f>"0042-8450"</f>
        <v>0042-8450</v>
      </c>
      <c r="E6288" s="5">
        <v>0.16800000000000001</v>
      </c>
      <c r="F6288" s="5">
        <v>1.7999999999999999E-2</v>
      </c>
    </row>
    <row r="6289" spans="2:6" x14ac:dyDescent="0.2">
      <c r="B6289" s="9" t="s">
        <v>281</v>
      </c>
      <c r="C6289" s="15" t="s">
        <v>282</v>
      </c>
      <c r="D6289" s="12" t="str">
        <f>"0042-8841"</f>
        <v>0042-8841</v>
      </c>
      <c r="E6289" s="5">
        <v>0.49299999999999999</v>
      </c>
      <c r="F6289" s="5">
        <v>3.3000000000000002E-2</v>
      </c>
    </row>
    <row r="6290" spans="2:6" x14ac:dyDescent="0.2">
      <c r="B6290" s="9" t="s">
        <v>7072</v>
      </c>
      <c r="C6290" s="15" t="s">
        <v>2975</v>
      </c>
      <c r="D6290" s="12" t="str">
        <f>"0042-9007"</f>
        <v>0042-9007</v>
      </c>
      <c r="E6290" s="5">
        <v>2.1440000000000001</v>
      </c>
      <c r="F6290" s="5">
        <v>0.19700000000000001</v>
      </c>
    </row>
    <row r="6291" spans="2:6" x14ac:dyDescent="0.2">
      <c r="B6291" s="9" t="s">
        <v>7074</v>
      </c>
      <c r="C6291" s="15" t="s">
        <v>7074</v>
      </c>
      <c r="D6291" s="12" t="str">
        <f>"0165-2125"</f>
        <v>0165-2125</v>
      </c>
      <c r="E6291" s="5">
        <v>2.02</v>
      </c>
      <c r="F6291" s="5">
        <v>0.61299999999999999</v>
      </c>
    </row>
    <row r="6292" spans="2:6" x14ac:dyDescent="0.2">
      <c r="B6292" s="9" t="s">
        <v>7075</v>
      </c>
      <c r="C6292" s="15" t="s">
        <v>7075</v>
      </c>
      <c r="D6292" s="12" t="str">
        <f>"0043-1648"</f>
        <v>0043-1648</v>
      </c>
      <c r="E6292" s="5">
        <v>3.8919999999999999</v>
      </c>
      <c r="F6292" s="5">
        <v>0.79700000000000004</v>
      </c>
    </row>
    <row r="6293" spans="2:6" x14ac:dyDescent="0.2">
      <c r="B6293" s="9" t="s">
        <v>7076</v>
      </c>
      <c r="C6293" s="15" t="s">
        <v>2977</v>
      </c>
      <c r="D6293" s="12" t="str">
        <f>"0193-9459"</f>
        <v>0193-9459</v>
      </c>
      <c r="E6293" s="5">
        <v>1.9670000000000001</v>
      </c>
      <c r="F6293" s="5">
        <v>0.52400000000000002</v>
      </c>
    </row>
    <row r="6294" spans="2:6" x14ac:dyDescent="0.2">
      <c r="B6294" s="9" t="s">
        <v>12241</v>
      </c>
      <c r="C6294" s="15" t="s">
        <v>12242</v>
      </c>
      <c r="D6294" s="12" t="str">
        <f>"1936-900X"</f>
        <v>1936-900X</v>
      </c>
      <c r="E6294" s="5">
        <v>2.4529999999999998</v>
      </c>
      <c r="F6294" s="5">
        <v>0.59399999999999997</v>
      </c>
    </row>
    <row r="6295" spans="2:6" x14ac:dyDescent="0.2">
      <c r="B6295" s="9" t="s">
        <v>7077</v>
      </c>
      <c r="C6295" s="15" t="s">
        <v>2978</v>
      </c>
      <c r="D6295" s="12" t="str">
        <f>"0043-5325"</f>
        <v>0043-5325</v>
      </c>
      <c r="E6295" s="5">
        <v>1.704</v>
      </c>
      <c r="F6295" s="5">
        <v>0.371</v>
      </c>
    </row>
    <row r="6296" spans="2:6" x14ac:dyDescent="0.2">
      <c r="B6296" s="9" t="s">
        <v>7078</v>
      </c>
      <c r="C6296" s="15" t="s">
        <v>2979</v>
      </c>
      <c r="D6296" s="12" t="str">
        <f>"0043-535X"</f>
        <v>0043-535X</v>
      </c>
      <c r="E6296" s="5">
        <v>0.34799999999999998</v>
      </c>
      <c r="F6296" s="5">
        <v>8.2000000000000003E-2</v>
      </c>
    </row>
    <row r="6297" spans="2:6" x14ac:dyDescent="0.2">
      <c r="B6297" s="9" t="s">
        <v>7079</v>
      </c>
      <c r="C6297" s="15" t="s">
        <v>2980</v>
      </c>
      <c r="D6297" s="12" t="str">
        <f>"1080-6032"</f>
        <v>1080-6032</v>
      </c>
      <c r="E6297" s="5">
        <v>1.518</v>
      </c>
      <c r="F6297" s="5">
        <v>0.21199999999999999</v>
      </c>
    </row>
    <row r="6298" spans="2:6" x14ac:dyDescent="0.2">
      <c r="B6298" s="9" t="s">
        <v>7080</v>
      </c>
      <c r="C6298" s="15" t="s">
        <v>7080</v>
      </c>
      <c r="D6298" s="12" t="str">
        <f>"1095-4244"</f>
        <v>1095-4244</v>
      </c>
      <c r="E6298" s="5">
        <v>2.73</v>
      </c>
      <c r="F6298" s="5">
        <v>0.60199999999999998</v>
      </c>
    </row>
    <row r="6299" spans="2:6" x14ac:dyDescent="0.2">
      <c r="B6299" s="9" t="s">
        <v>7073</v>
      </c>
      <c r="C6299" s="15" t="s">
        <v>2976</v>
      </c>
      <c r="D6299" s="12" t="str">
        <f>"0043-3144"</f>
        <v>0043-3144</v>
      </c>
      <c r="E6299" s="5">
        <v>0.17100000000000001</v>
      </c>
      <c r="F6299" s="5">
        <v>2.4E-2</v>
      </c>
    </row>
    <row r="6300" spans="2:6" x14ac:dyDescent="0.2">
      <c r="B6300" s="9" t="s">
        <v>12243</v>
      </c>
      <c r="C6300" s="15" t="s">
        <v>12244</v>
      </c>
      <c r="D6300" s="12" t="str">
        <f>"1939-5078"</f>
        <v>1939-5078</v>
      </c>
      <c r="E6300" s="5">
        <v>3.476</v>
      </c>
      <c r="F6300" s="5">
        <v>0.77800000000000002</v>
      </c>
    </row>
    <row r="6301" spans="2:6" x14ac:dyDescent="0.2">
      <c r="B6301" s="9" t="s">
        <v>12245</v>
      </c>
      <c r="C6301" s="15" t="s">
        <v>12246</v>
      </c>
      <c r="D6301" s="12" t="str">
        <f>"1759-0876"</f>
        <v>1759-0876</v>
      </c>
      <c r="E6301" s="5">
        <v>25.113</v>
      </c>
      <c r="F6301" s="5">
        <v>1</v>
      </c>
    </row>
    <row r="6302" spans="2:6" x14ac:dyDescent="0.2">
      <c r="B6302" s="9" t="s">
        <v>12247</v>
      </c>
      <c r="C6302" s="15" t="s">
        <v>12248</v>
      </c>
      <c r="D6302" s="12" t="str">
        <f>"1759-7684"</f>
        <v>1759-7684</v>
      </c>
      <c r="E6302" s="5">
        <v>5.8140000000000001</v>
      </c>
      <c r="F6302" s="5">
        <v>0.85399999999999998</v>
      </c>
    </row>
    <row r="6303" spans="2:6" x14ac:dyDescent="0.2">
      <c r="B6303" s="9" t="s">
        <v>12249</v>
      </c>
      <c r="C6303" s="15" t="s">
        <v>12250</v>
      </c>
      <c r="D6303" s="12" t="str">
        <f>"1939-5116"</f>
        <v>1939-5116</v>
      </c>
      <c r="E6303" s="5">
        <v>9.1820000000000004</v>
      </c>
      <c r="F6303" s="5">
        <v>0.92100000000000004</v>
      </c>
    </row>
    <row r="6304" spans="2:6" x14ac:dyDescent="0.2">
      <c r="B6304" s="9" t="s">
        <v>12251</v>
      </c>
      <c r="C6304" s="15" t="s">
        <v>12252</v>
      </c>
      <c r="D6304" s="12" t="str">
        <f>"1757-7004"</f>
        <v>1757-7004</v>
      </c>
      <c r="E6304" s="5">
        <v>9.9570000000000007</v>
      </c>
      <c r="F6304" s="5">
        <v>0.84499999999999997</v>
      </c>
    </row>
    <row r="6305" spans="2:6" x14ac:dyDescent="0.2">
      <c r="B6305" s="9" t="s">
        <v>12253</v>
      </c>
      <c r="C6305" s="15" t="s">
        <v>12254</v>
      </c>
      <c r="D6305" s="12" t="str">
        <f>"1939-5094"</f>
        <v>1939-5094</v>
      </c>
      <c r="E6305" s="5">
        <v>5</v>
      </c>
      <c r="F6305" s="5">
        <v>0.66400000000000003</v>
      </c>
    </row>
    <row r="6306" spans="2:6" x14ac:dyDescent="0.2">
      <c r="B6306" s="9" t="s">
        <v>12255</v>
      </c>
      <c r="C6306" s="15" t="s">
        <v>12256</v>
      </c>
      <c r="D6306" s="12" t="str">
        <f>"1871-5192"</f>
        <v>1871-5192</v>
      </c>
      <c r="E6306" s="5">
        <v>3.1720000000000002</v>
      </c>
      <c r="F6306" s="5">
        <v>0.92100000000000004</v>
      </c>
    </row>
    <row r="6307" spans="2:6" x14ac:dyDescent="0.2">
      <c r="B6307" s="9" t="s">
        <v>284</v>
      </c>
      <c r="C6307" s="15" t="s">
        <v>285</v>
      </c>
      <c r="D6307" s="12" t="str">
        <f>"0363-0242"</f>
        <v>0363-0242</v>
      </c>
      <c r="E6307" s="5">
        <v>1.7390000000000001</v>
      </c>
      <c r="F6307" s="5">
        <v>0.5</v>
      </c>
    </row>
    <row r="6308" spans="2:6" x14ac:dyDescent="0.2">
      <c r="B6308" s="9" t="s">
        <v>286</v>
      </c>
      <c r="C6308" s="15" t="s">
        <v>287</v>
      </c>
      <c r="D6308" s="12" t="str">
        <f>"1049-3867"</f>
        <v>1049-3867</v>
      </c>
      <c r="E6308" s="5">
        <v>3.0270000000000001</v>
      </c>
      <c r="F6308" s="5">
        <v>0.86399999999999999</v>
      </c>
    </row>
    <row r="6309" spans="2:6" x14ac:dyDescent="0.2">
      <c r="B6309" s="9" t="s">
        <v>288</v>
      </c>
      <c r="C6309" s="15" t="s">
        <v>289</v>
      </c>
      <c r="D6309" s="12" t="str">
        <f>"0277-5395"</f>
        <v>0277-5395</v>
      </c>
      <c r="E6309" s="5">
        <v>1.4970000000000001</v>
      </c>
      <c r="F6309" s="5">
        <v>0.432</v>
      </c>
    </row>
    <row r="6310" spans="2:6" x14ac:dyDescent="0.2">
      <c r="B6310" s="9" t="s">
        <v>290</v>
      </c>
      <c r="C6310" s="15" t="s">
        <v>291</v>
      </c>
      <c r="D6310" s="12" t="str">
        <f>"0270-3149"</f>
        <v>0270-3149</v>
      </c>
      <c r="E6310" s="5">
        <v>1.1220000000000001</v>
      </c>
      <c r="F6310" s="5">
        <v>0.34100000000000003</v>
      </c>
    </row>
    <row r="6311" spans="2:6" x14ac:dyDescent="0.2">
      <c r="B6311" s="9" t="s">
        <v>12257</v>
      </c>
      <c r="C6311" s="15" t="s">
        <v>12258</v>
      </c>
      <c r="D6311" s="12" t="str">
        <f>"1051-9815"</f>
        <v>1051-9815</v>
      </c>
      <c r="E6311" s="5">
        <v>1.5049999999999999</v>
      </c>
      <c r="F6311" s="5">
        <v>0.20100000000000001</v>
      </c>
    </row>
    <row r="6312" spans="2:6" x14ac:dyDescent="0.2">
      <c r="B6312" s="9" t="s">
        <v>12259</v>
      </c>
      <c r="C6312" s="15" t="s">
        <v>12260</v>
      </c>
      <c r="D6312" s="12" t="str">
        <f>"2054-4650"</f>
        <v>2054-4650</v>
      </c>
      <c r="E6312" s="5">
        <v>3.375</v>
      </c>
      <c r="F6312" s="5">
        <v>0.7</v>
      </c>
    </row>
    <row r="6313" spans="2:6" x14ac:dyDescent="0.2">
      <c r="B6313" s="9" t="s">
        <v>12261</v>
      </c>
      <c r="C6313" s="15" t="s">
        <v>12262</v>
      </c>
      <c r="D6313" s="12" t="str">
        <f>"2165-0799"</f>
        <v>2165-0799</v>
      </c>
      <c r="E6313" s="5">
        <v>1.413</v>
      </c>
      <c r="F6313" s="5">
        <v>0.30199999999999999</v>
      </c>
    </row>
    <row r="6314" spans="2:6" x14ac:dyDescent="0.2">
      <c r="B6314" s="9" t="s">
        <v>292</v>
      </c>
      <c r="C6314" s="15" t="s">
        <v>293</v>
      </c>
      <c r="D6314" s="12" t="str">
        <f>"0267-8373"</f>
        <v>0267-8373</v>
      </c>
      <c r="E6314" s="5">
        <v>6.3570000000000002</v>
      </c>
      <c r="F6314" s="5">
        <v>0.85499999999999998</v>
      </c>
    </row>
    <row r="6315" spans="2:6" x14ac:dyDescent="0.2">
      <c r="B6315" s="9" t="s">
        <v>12263</v>
      </c>
      <c r="C6315" s="15" t="s">
        <v>12264</v>
      </c>
      <c r="D6315" s="12" t="str">
        <f>"1939-4551"</f>
        <v>1939-4551</v>
      </c>
      <c r="E6315" s="5">
        <v>4.0839999999999996</v>
      </c>
      <c r="F6315" s="5">
        <v>0.5</v>
      </c>
    </row>
    <row r="6316" spans="2:6" x14ac:dyDescent="0.2">
      <c r="B6316" s="9" t="s">
        <v>7081</v>
      </c>
      <c r="C6316" s="15" t="s">
        <v>2981</v>
      </c>
      <c r="D6316" s="12" t="str">
        <f>"1562-2975"</f>
        <v>1562-2975</v>
      </c>
      <c r="E6316" s="5">
        <v>4.1319999999999997</v>
      </c>
      <c r="F6316" s="5">
        <v>0.70799999999999996</v>
      </c>
    </row>
    <row r="6317" spans="2:6" x14ac:dyDescent="0.2">
      <c r="B6317" s="9" t="s">
        <v>12265</v>
      </c>
      <c r="C6317" s="15" t="s">
        <v>12266</v>
      </c>
      <c r="D6317" s="12" t="str">
        <f>"2307-8960"</f>
        <v>2307-8960</v>
      </c>
      <c r="E6317" s="5">
        <v>1.337</v>
      </c>
      <c r="F6317" s="5">
        <v>0.29299999999999998</v>
      </c>
    </row>
    <row r="6318" spans="2:6" x14ac:dyDescent="0.2">
      <c r="B6318" s="9" t="s">
        <v>12267</v>
      </c>
      <c r="C6318" s="15" t="s">
        <v>12268</v>
      </c>
      <c r="D6318" s="12" t="str">
        <f>"1948-9358"</f>
        <v>1948-9358</v>
      </c>
      <c r="E6318" s="5">
        <v>3.7629999999999999</v>
      </c>
      <c r="F6318" s="5">
        <v>0.45500000000000002</v>
      </c>
    </row>
    <row r="6319" spans="2:6" x14ac:dyDescent="0.2">
      <c r="B6319" s="9" t="s">
        <v>12269</v>
      </c>
      <c r="C6319" s="15" t="s">
        <v>12270</v>
      </c>
      <c r="D6319" s="12" t="str">
        <f>"1920-8642"</f>
        <v>1920-8642</v>
      </c>
      <c r="E6319" s="5">
        <v>2.266</v>
      </c>
      <c r="F6319" s="5">
        <v>0.53100000000000003</v>
      </c>
    </row>
    <row r="6320" spans="2:6" x14ac:dyDescent="0.2">
      <c r="B6320" s="9" t="s">
        <v>12271</v>
      </c>
      <c r="C6320" s="15" t="s">
        <v>12272</v>
      </c>
      <c r="D6320" s="12" t="str">
        <f>"1749-7922"</f>
        <v>1749-7922</v>
      </c>
      <c r="E6320" s="5">
        <v>5.4690000000000003</v>
      </c>
      <c r="F6320" s="5">
        <v>0.96899999999999997</v>
      </c>
    </row>
    <row r="6321" spans="2:6" x14ac:dyDescent="0.2">
      <c r="B6321" s="9" t="s">
        <v>294</v>
      </c>
      <c r="C6321" s="15" t="s">
        <v>295</v>
      </c>
      <c r="D6321" s="12" t="str">
        <f>"1007-9327"</f>
        <v>1007-9327</v>
      </c>
      <c r="E6321" s="5">
        <v>5.742</v>
      </c>
      <c r="F6321" s="5">
        <v>0.70699999999999996</v>
      </c>
    </row>
    <row r="6322" spans="2:6" x14ac:dyDescent="0.2">
      <c r="B6322" s="9" t="s">
        <v>12273</v>
      </c>
      <c r="C6322" s="15" t="s">
        <v>12274</v>
      </c>
      <c r="D6322" s="12" t="str">
        <f>"1948-5204"</f>
        <v>1948-5204</v>
      </c>
      <c r="E6322" s="5">
        <v>3.3929999999999998</v>
      </c>
      <c r="F6322" s="5">
        <v>0.35899999999999999</v>
      </c>
    </row>
    <row r="6323" spans="2:6" x14ac:dyDescent="0.2">
      <c r="B6323" s="9" t="s">
        <v>12275</v>
      </c>
      <c r="C6323" s="15" t="s">
        <v>12276</v>
      </c>
      <c r="D6323" s="12" t="str">
        <f>"1948-9366"</f>
        <v>1948-9366</v>
      </c>
      <c r="E6323" s="5">
        <v>2.5819999999999999</v>
      </c>
      <c r="F6323" s="5">
        <v>0.54300000000000004</v>
      </c>
    </row>
    <row r="6324" spans="2:6" x14ac:dyDescent="0.2">
      <c r="B6324" s="9" t="s">
        <v>12277</v>
      </c>
      <c r="C6324" s="15" t="s">
        <v>12278</v>
      </c>
      <c r="D6324" s="12" t="str">
        <f>"2287-4208"</f>
        <v>2287-4208</v>
      </c>
      <c r="E6324" s="5">
        <v>5.4</v>
      </c>
      <c r="F6324" s="5">
        <v>1</v>
      </c>
    </row>
    <row r="6325" spans="2:6" x14ac:dyDescent="0.2">
      <c r="B6325" s="9" t="s">
        <v>7082</v>
      </c>
      <c r="C6325" s="15" t="s">
        <v>2982</v>
      </c>
      <c r="D6325" s="12" t="str">
        <f>"0959-3993"</f>
        <v>0959-3993</v>
      </c>
      <c r="E6325" s="5">
        <v>3.3119999999999998</v>
      </c>
      <c r="F6325" s="5">
        <v>0.55100000000000005</v>
      </c>
    </row>
    <row r="6326" spans="2:6" x14ac:dyDescent="0.2">
      <c r="B6326" s="9" t="s">
        <v>12279</v>
      </c>
      <c r="C6326" s="15" t="s">
        <v>12280</v>
      </c>
      <c r="D6326" s="12" t="str">
        <f>"1708-8569"</f>
        <v>1708-8569</v>
      </c>
      <c r="E6326" s="5">
        <v>2.7639999999999998</v>
      </c>
      <c r="F6326" s="5">
        <v>0.66700000000000004</v>
      </c>
    </row>
    <row r="6327" spans="2:6" x14ac:dyDescent="0.2">
      <c r="B6327" s="9" t="s">
        <v>12281</v>
      </c>
      <c r="C6327" s="15" t="s">
        <v>12282</v>
      </c>
      <c r="D6327" s="12" t="str">
        <f>"2220-3206"</f>
        <v>2220-3206</v>
      </c>
      <c r="E6327" s="5">
        <v>4.5709999999999997</v>
      </c>
      <c r="F6327" s="5">
        <v>0.77300000000000002</v>
      </c>
    </row>
    <row r="6328" spans="2:6" x14ac:dyDescent="0.2">
      <c r="B6328" s="9" t="s">
        <v>12283</v>
      </c>
      <c r="C6328" s="15" t="s">
        <v>12284</v>
      </c>
      <c r="D6328" s="12" t="str">
        <f>"1948-0210"</f>
        <v>1948-0210</v>
      </c>
      <c r="E6328" s="5">
        <v>5.3259999999999996</v>
      </c>
      <c r="F6328" s="5">
        <v>0.63700000000000001</v>
      </c>
    </row>
    <row r="6329" spans="2:6" x14ac:dyDescent="0.2">
      <c r="B6329" s="9" t="s">
        <v>7083</v>
      </c>
      <c r="C6329" s="15" t="s">
        <v>2983</v>
      </c>
      <c r="D6329" s="12" t="str">
        <f>"0364-2313"</f>
        <v>0364-2313</v>
      </c>
      <c r="E6329" s="5">
        <v>3.3519999999999999</v>
      </c>
      <c r="F6329" s="5">
        <v>0.69499999999999995</v>
      </c>
    </row>
    <row r="6330" spans="2:6" x14ac:dyDescent="0.2">
      <c r="B6330" s="9" t="s">
        <v>12285</v>
      </c>
      <c r="C6330" s="15" t="s">
        <v>12286</v>
      </c>
      <c r="D6330" s="12" t="str">
        <f>"1477-7819"</f>
        <v>1477-7819</v>
      </c>
      <c r="E6330" s="5">
        <v>2.754</v>
      </c>
      <c r="F6330" s="5">
        <v>0.59499999999999997</v>
      </c>
    </row>
    <row r="6331" spans="2:6" x14ac:dyDescent="0.2">
      <c r="B6331" s="9" t="s">
        <v>7084</v>
      </c>
      <c r="C6331" s="15" t="s">
        <v>2984</v>
      </c>
      <c r="D6331" s="12" t="str">
        <f>"0724-4983"</f>
        <v>0724-4983</v>
      </c>
      <c r="E6331" s="5">
        <v>4.226</v>
      </c>
      <c r="F6331" s="5">
        <v>0.77500000000000002</v>
      </c>
    </row>
    <row r="6332" spans="2:6" x14ac:dyDescent="0.2">
      <c r="B6332" s="9" t="s">
        <v>12287</v>
      </c>
      <c r="C6332" s="15" t="s">
        <v>12288</v>
      </c>
      <c r="D6332" s="12" t="str">
        <f>"1875-0710"</f>
        <v>1875-0710</v>
      </c>
      <c r="E6332" s="5">
        <v>3.3530000000000002</v>
      </c>
      <c r="F6332" s="5">
        <v>0.64300000000000002</v>
      </c>
    </row>
    <row r="6333" spans="2:6" x14ac:dyDescent="0.2">
      <c r="B6333" s="9" t="s">
        <v>12289</v>
      </c>
      <c r="C6333" s="15" t="s">
        <v>12290</v>
      </c>
      <c r="D6333" s="12" t="str">
        <f>"1878-8750"</f>
        <v>1878-8750</v>
      </c>
      <c r="E6333" s="5">
        <v>2.1040000000000001</v>
      </c>
      <c r="F6333" s="5">
        <v>0.41</v>
      </c>
    </row>
    <row r="6334" spans="2:6" x14ac:dyDescent="0.2">
      <c r="B6334" s="9" t="s">
        <v>296</v>
      </c>
      <c r="C6334" s="15" t="s">
        <v>297</v>
      </c>
      <c r="D6334" s="12" t="str">
        <f>"1723-8617"</f>
        <v>1723-8617</v>
      </c>
      <c r="E6334" s="5">
        <v>49.548000000000002</v>
      </c>
      <c r="F6334" s="5">
        <v>1</v>
      </c>
    </row>
    <row r="6335" spans="2:6" x14ac:dyDescent="0.2">
      <c r="B6335" s="9" t="s">
        <v>12291</v>
      </c>
      <c r="C6335" s="15" t="s">
        <v>12292</v>
      </c>
      <c r="D6335" s="12" t="str">
        <f>"0084-2230"</f>
        <v>0084-2230</v>
      </c>
      <c r="E6335" s="5">
        <v>0.57499999999999996</v>
      </c>
      <c r="F6335" s="5">
        <v>0.08</v>
      </c>
    </row>
    <row r="6336" spans="2:6" x14ac:dyDescent="0.2">
      <c r="B6336" s="9" t="s">
        <v>298</v>
      </c>
      <c r="C6336" s="15" t="s">
        <v>299</v>
      </c>
      <c r="D6336" s="12" t="str">
        <f>"1545-102X"</f>
        <v>1545-102X</v>
      </c>
      <c r="E6336" s="5">
        <v>2.931</v>
      </c>
      <c r="F6336" s="5">
        <v>0.88100000000000001</v>
      </c>
    </row>
    <row r="6337" spans="2:6" x14ac:dyDescent="0.2">
      <c r="B6337" s="9" t="s">
        <v>12293</v>
      </c>
      <c r="C6337" s="15" t="s">
        <v>12294</v>
      </c>
      <c r="D6337" s="12" t="str">
        <f>"2640-5237"</f>
        <v>2640-5237</v>
      </c>
      <c r="E6337" s="5">
        <v>0.69799999999999995</v>
      </c>
      <c r="F6337" s="5">
        <v>5.6000000000000001E-2</v>
      </c>
    </row>
    <row r="6338" spans="2:6" x14ac:dyDescent="0.2">
      <c r="B6338" s="9" t="s">
        <v>7085</v>
      </c>
      <c r="C6338" s="15" t="s">
        <v>2985</v>
      </c>
      <c r="D6338" s="12" t="str">
        <f>"1067-1927"</f>
        <v>1067-1927</v>
      </c>
      <c r="E6338" s="5">
        <v>3.617</v>
      </c>
      <c r="F6338" s="5">
        <v>0.76200000000000001</v>
      </c>
    </row>
    <row r="6339" spans="2:6" x14ac:dyDescent="0.2">
      <c r="B6339" s="9" t="s">
        <v>7086</v>
      </c>
      <c r="C6339" s="15" t="s">
        <v>2986</v>
      </c>
      <c r="D6339" s="12" t="str">
        <f>"1044-7946"</f>
        <v>1044-7946</v>
      </c>
      <c r="E6339" s="5">
        <v>1.546</v>
      </c>
      <c r="F6339" s="5">
        <v>0.22900000000000001</v>
      </c>
    </row>
    <row r="6340" spans="2:6" x14ac:dyDescent="0.2">
      <c r="B6340" s="9" t="s">
        <v>7087</v>
      </c>
      <c r="C6340" s="15" t="s">
        <v>7087</v>
      </c>
      <c r="D6340" s="12" t="str">
        <f>"0049-8254"</f>
        <v>0049-8254</v>
      </c>
      <c r="E6340" s="5">
        <v>1.9079999999999999</v>
      </c>
      <c r="F6340" s="5">
        <v>0.182</v>
      </c>
    </row>
    <row r="6341" spans="2:6" x14ac:dyDescent="0.2">
      <c r="B6341" s="9" t="s">
        <v>7088</v>
      </c>
      <c r="C6341" s="15" t="s">
        <v>7088</v>
      </c>
      <c r="D6341" s="12" t="str">
        <f>"0908-665X"</f>
        <v>0908-665X</v>
      </c>
      <c r="E6341" s="5">
        <v>3.907</v>
      </c>
      <c r="F6341" s="5">
        <v>0.64</v>
      </c>
    </row>
    <row r="6342" spans="2:6" x14ac:dyDescent="0.2">
      <c r="B6342" s="9" t="s">
        <v>7089</v>
      </c>
      <c r="C6342" s="15" t="s">
        <v>2987</v>
      </c>
      <c r="D6342" s="12" t="str">
        <f>"0031-6903"</f>
        <v>0031-6903</v>
      </c>
      <c r="E6342" s="5">
        <v>0.30199999999999999</v>
      </c>
      <c r="F6342" s="5">
        <v>1.4999999999999999E-2</v>
      </c>
    </row>
    <row r="6343" spans="2:6" x14ac:dyDescent="0.2">
      <c r="B6343" s="9" t="s">
        <v>12295</v>
      </c>
      <c r="C6343" s="15" t="s">
        <v>12296</v>
      </c>
      <c r="D6343" s="12" t="str">
        <f>"0044-0086"</f>
        <v>0044-0086</v>
      </c>
      <c r="E6343" s="5">
        <v>3.0259999999999998</v>
      </c>
      <c r="F6343" s="5">
        <v>0.67700000000000005</v>
      </c>
    </row>
    <row r="6344" spans="2:6" x14ac:dyDescent="0.2">
      <c r="B6344" s="9" t="s">
        <v>7090</v>
      </c>
      <c r="C6344" s="15" t="s">
        <v>7090</v>
      </c>
      <c r="D6344" s="12" t="str">
        <f>"0749-503X"</f>
        <v>0749-503X</v>
      </c>
      <c r="E6344" s="5">
        <v>3.2389999999999999</v>
      </c>
      <c r="F6344" s="5">
        <v>0.51900000000000002</v>
      </c>
    </row>
    <row r="6345" spans="2:6" x14ac:dyDescent="0.2">
      <c r="B6345" s="9" t="s">
        <v>12297</v>
      </c>
      <c r="C6345" s="15" t="s">
        <v>12298</v>
      </c>
      <c r="D6345" s="12" t="str">
        <f>"0513-5710"</f>
        <v>0513-5710</v>
      </c>
      <c r="E6345" s="5">
        <v>1.641</v>
      </c>
      <c r="F6345" s="5">
        <v>0.13600000000000001</v>
      </c>
    </row>
    <row r="6346" spans="2:6" x14ac:dyDescent="0.2">
      <c r="B6346" s="9" t="s">
        <v>7091</v>
      </c>
      <c r="C6346" s="15" t="s">
        <v>2988</v>
      </c>
      <c r="D6346" s="12" t="str">
        <f>"0513-5796"</f>
        <v>0513-5796</v>
      </c>
      <c r="E6346" s="5">
        <v>2.7589999999999999</v>
      </c>
      <c r="F6346" s="5">
        <v>0.64100000000000001</v>
      </c>
    </row>
    <row r="6347" spans="2:6" x14ac:dyDescent="0.2">
      <c r="B6347" s="9" t="s">
        <v>12299</v>
      </c>
      <c r="C6347" s="15" t="s">
        <v>12300</v>
      </c>
      <c r="D6347" s="12" t="str">
        <f>"1103-3088"</f>
        <v>1103-3088</v>
      </c>
      <c r="E6347" s="5">
        <v>1.635</v>
      </c>
      <c r="F6347" s="5">
        <v>0.39400000000000002</v>
      </c>
    </row>
    <row r="6348" spans="2:6" x14ac:dyDescent="0.2">
      <c r="B6348" s="9" t="s">
        <v>300</v>
      </c>
      <c r="C6348" s="15" t="s">
        <v>301</v>
      </c>
      <c r="D6348" s="12" t="str">
        <f>"0044-118X"</f>
        <v>0044-118X</v>
      </c>
      <c r="E6348" s="5">
        <v>2.923</v>
      </c>
      <c r="F6348" s="5">
        <v>0.78</v>
      </c>
    </row>
    <row r="6349" spans="2:6" x14ac:dyDescent="0.2">
      <c r="B6349" s="9" t="s">
        <v>302</v>
      </c>
      <c r="C6349" s="15" t="s">
        <v>303</v>
      </c>
      <c r="D6349" s="12" t="str">
        <f>"0932-4089"</f>
        <v>0932-4089</v>
      </c>
      <c r="E6349" s="5">
        <v>0.72399999999999998</v>
      </c>
      <c r="F6349" s="5">
        <v>3.5999999999999997E-2</v>
      </c>
    </row>
    <row r="6350" spans="2:6" x14ac:dyDescent="0.2">
      <c r="B6350" s="9" t="s">
        <v>304</v>
      </c>
      <c r="C6350" s="15" t="s">
        <v>305</v>
      </c>
      <c r="D6350" s="12" t="str">
        <f>"0044-2380"</f>
        <v>0044-2380</v>
      </c>
      <c r="E6350" s="5">
        <v>0.125</v>
      </c>
      <c r="F6350" s="5">
        <v>2.4E-2</v>
      </c>
    </row>
    <row r="6351" spans="2:6" x14ac:dyDescent="0.2">
      <c r="B6351" s="9" t="s">
        <v>7098</v>
      </c>
      <c r="C6351" s="15" t="s">
        <v>2994</v>
      </c>
      <c r="D6351" s="12" t="str">
        <f>"0044-409X"</f>
        <v>0044-409X</v>
      </c>
      <c r="E6351" s="5">
        <v>0.94199999999999995</v>
      </c>
      <c r="F6351" s="5">
        <v>6.2E-2</v>
      </c>
    </row>
    <row r="6352" spans="2:6" x14ac:dyDescent="0.2">
      <c r="B6352" s="9" t="s">
        <v>12301</v>
      </c>
      <c r="C6352" s="15" t="s">
        <v>12302</v>
      </c>
      <c r="D6352" s="12" t="str">
        <f>"1854-2476"</f>
        <v>1854-2476</v>
      </c>
      <c r="E6352" s="5">
        <v>1.25</v>
      </c>
      <c r="F6352" s="5">
        <v>0.13</v>
      </c>
    </row>
    <row r="6353" spans="2:6" x14ac:dyDescent="0.2">
      <c r="B6353" s="9" t="s">
        <v>12303</v>
      </c>
      <c r="C6353" s="15" t="s">
        <v>12304</v>
      </c>
      <c r="D6353" s="12" t="str">
        <f>"1557-8542"</f>
        <v>1557-8542</v>
      </c>
      <c r="E6353" s="5">
        <v>1.9850000000000001</v>
      </c>
      <c r="F6353" s="5">
        <v>0.67800000000000005</v>
      </c>
    </row>
    <row r="6354" spans="2:6" ht="25.5" x14ac:dyDescent="0.2">
      <c r="B6354" s="9" t="s">
        <v>306</v>
      </c>
      <c r="C6354" s="15" t="s">
        <v>307</v>
      </c>
      <c r="D6354" s="12" t="str">
        <f>"0049-8637"</f>
        <v>0049-8637</v>
      </c>
      <c r="E6354" s="5">
        <v>0.39300000000000002</v>
      </c>
      <c r="F6354" s="5">
        <v>1.7000000000000001E-2</v>
      </c>
    </row>
    <row r="6355" spans="2:6" x14ac:dyDescent="0.2">
      <c r="B6355" s="9" t="s">
        <v>308</v>
      </c>
      <c r="C6355" s="15" t="s">
        <v>309</v>
      </c>
      <c r="D6355" s="12" t="str">
        <f>"1619-5515"</f>
        <v>1619-5515</v>
      </c>
      <c r="E6355" s="5">
        <v>0.23100000000000001</v>
      </c>
      <c r="F6355" s="5">
        <v>2.8000000000000001E-2</v>
      </c>
    </row>
    <row r="6356" spans="2:6" x14ac:dyDescent="0.2">
      <c r="B6356" s="9" t="s">
        <v>7092</v>
      </c>
      <c r="C6356" s="15" t="s">
        <v>2989</v>
      </c>
      <c r="D6356" s="12" t="str">
        <f>"0044-2771"</f>
        <v>0044-2771</v>
      </c>
      <c r="E6356" s="5">
        <v>2</v>
      </c>
      <c r="F6356" s="5">
        <v>6.5000000000000002E-2</v>
      </c>
    </row>
    <row r="6357" spans="2:6" x14ac:dyDescent="0.2">
      <c r="B6357" s="9" t="s">
        <v>12305</v>
      </c>
      <c r="C6357" s="15" t="s">
        <v>12306</v>
      </c>
      <c r="D6357" s="12" t="str">
        <f>"0948-2393"</f>
        <v>0948-2393</v>
      </c>
      <c r="E6357" s="5">
        <v>0.68500000000000005</v>
      </c>
      <c r="F6357" s="5">
        <v>5.3999999999999999E-2</v>
      </c>
    </row>
    <row r="6358" spans="2:6" x14ac:dyDescent="0.2">
      <c r="B6358" s="9" t="s">
        <v>7093</v>
      </c>
      <c r="C6358" s="15" t="s">
        <v>2990</v>
      </c>
      <c r="D6358" s="12" t="str">
        <f>"0948-6704"</f>
        <v>0948-6704</v>
      </c>
      <c r="E6358" s="5">
        <v>1.2809999999999999</v>
      </c>
      <c r="F6358" s="5">
        <v>0.16700000000000001</v>
      </c>
    </row>
    <row r="6359" spans="2:6" x14ac:dyDescent="0.2">
      <c r="B6359" s="9" t="s">
        <v>7099</v>
      </c>
      <c r="C6359" s="15" t="s">
        <v>2995</v>
      </c>
      <c r="D6359" s="12" t="str">
        <f>"0044-4596"</f>
        <v>0044-4596</v>
      </c>
      <c r="E6359" s="5">
        <v>0.46500000000000002</v>
      </c>
      <c r="F6359" s="5">
        <v>8.5999999999999993E-2</v>
      </c>
    </row>
    <row r="6360" spans="2:6" x14ac:dyDescent="0.2">
      <c r="B6360" s="9" t="s">
        <v>7100</v>
      </c>
      <c r="C6360" s="15" t="s">
        <v>2996</v>
      </c>
      <c r="D6360" s="12" t="str">
        <f>"0044-4677"</f>
        <v>0044-4677</v>
      </c>
      <c r="E6360" s="5">
        <v>0.437</v>
      </c>
      <c r="F6360" s="5">
        <v>2.5000000000000001E-2</v>
      </c>
    </row>
    <row r="6361" spans="2:6" x14ac:dyDescent="0.2">
      <c r="B6361" s="9" t="s">
        <v>310</v>
      </c>
      <c r="C6361" s="15" t="s">
        <v>311</v>
      </c>
      <c r="D6361" s="12" t="str">
        <f>"1422-4917"</f>
        <v>1422-4917</v>
      </c>
      <c r="E6361" s="5">
        <v>0.90400000000000003</v>
      </c>
      <c r="F6361" s="5">
        <v>0.10199999999999999</v>
      </c>
    </row>
    <row r="6362" spans="2:6" x14ac:dyDescent="0.2">
      <c r="B6362" s="9" t="s">
        <v>312</v>
      </c>
      <c r="C6362" s="15" t="s">
        <v>313</v>
      </c>
      <c r="D6362" s="12" t="str">
        <f>"1616-3443"</f>
        <v>1616-3443</v>
      </c>
      <c r="E6362" s="5">
        <v>0.436</v>
      </c>
      <c r="F6362" s="5">
        <v>3.1E-2</v>
      </c>
    </row>
    <row r="6363" spans="2:6" x14ac:dyDescent="0.2">
      <c r="B6363" s="9" t="s">
        <v>314</v>
      </c>
      <c r="C6363" s="15" t="s">
        <v>315</v>
      </c>
      <c r="D6363" s="12" t="str">
        <f>"0939-3889"</f>
        <v>0939-3889</v>
      </c>
      <c r="E6363" s="5">
        <v>4.82</v>
      </c>
      <c r="F6363" s="5">
        <v>0.82</v>
      </c>
    </row>
    <row r="6364" spans="2:6" ht="25.5" x14ac:dyDescent="0.2">
      <c r="B6364" s="9" t="s">
        <v>7094</v>
      </c>
      <c r="C6364" s="15" t="s">
        <v>2991</v>
      </c>
      <c r="D6364" s="12" t="str">
        <f>"0932-0776"</f>
        <v>0932-0776</v>
      </c>
      <c r="E6364" s="5">
        <v>1.0469999999999999</v>
      </c>
      <c r="F6364" s="5">
        <v>0.17499999999999999</v>
      </c>
    </row>
    <row r="6365" spans="2:6" x14ac:dyDescent="0.2">
      <c r="B6365" s="9" t="s">
        <v>7095</v>
      </c>
      <c r="C6365" s="15" t="s">
        <v>316</v>
      </c>
      <c r="D6365" s="12" t="str">
        <f>"0939-5075"</f>
        <v>0939-5075</v>
      </c>
      <c r="E6365" s="5">
        <v>1.649</v>
      </c>
      <c r="F6365" s="5">
        <v>0.124</v>
      </c>
    </row>
    <row r="6366" spans="2:6" x14ac:dyDescent="0.2">
      <c r="B6366" s="9" t="s">
        <v>12307</v>
      </c>
      <c r="C6366" s="15" t="s">
        <v>12308</v>
      </c>
      <c r="D6366" s="12" t="str">
        <f>"1016-264X"</f>
        <v>1016-264X</v>
      </c>
      <c r="E6366" s="5">
        <v>0.57499999999999996</v>
      </c>
      <c r="F6366" s="5">
        <v>6.5000000000000002E-2</v>
      </c>
    </row>
    <row r="6367" spans="2:6" x14ac:dyDescent="0.2">
      <c r="B6367" s="9" t="s">
        <v>7101</v>
      </c>
      <c r="C6367" s="15" t="s">
        <v>2997</v>
      </c>
      <c r="D6367" s="12" t="str">
        <f>"0733-3188"</f>
        <v>0733-3188</v>
      </c>
      <c r="E6367" s="5">
        <v>1.421</v>
      </c>
      <c r="F6367" s="5">
        <v>0.47699999999999998</v>
      </c>
    </row>
    <row r="6368" spans="2:6" x14ac:dyDescent="0.2">
      <c r="B6368" s="9" t="s">
        <v>7102</v>
      </c>
      <c r="C6368" s="15" t="s">
        <v>7102</v>
      </c>
      <c r="D6368" s="12" t="str">
        <f>"0720-213X"</f>
        <v>0720-213X</v>
      </c>
      <c r="E6368" s="5">
        <v>1.3260000000000001</v>
      </c>
      <c r="F6368" s="5">
        <v>0.437</v>
      </c>
    </row>
    <row r="6369" spans="2:6" x14ac:dyDescent="0.2">
      <c r="B6369" s="9" t="s">
        <v>325</v>
      </c>
      <c r="C6369" s="15" t="s">
        <v>326</v>
      </c>
      <c r="D6369" s="12" t="str">
        <f>"1863-2378"</f>
        <v>1863-2378</v>
      </c>
      <c r="E6369" s="5">
        <v>2.702</v>
      </c>
      <c r="F6369" s="5">
        <v>0.84199999999999997</v>
      </c>
    </row>
    <row r="6370" spans="2:6" x14ac:dyDescent="0.2">
      <c r="B6370" s="9" t="s">
        <v>317</v>
      </c>
      <c r="C6370" s="15" t="s">
        <v>318</v>
      </c>
      <c r="D6370" s="12" t="str">
        <f>"1864-6697"</f>
        <v>1864-6697</v>
      </c>
      <c r="E6370" s="5">
        <v>0.92300000000000004</v>
      </c>
      <c r="F6370" s="5">
        <v>8.5999999999999993E-2</v>
      </c>
    </row>
    <row r="6371" spans="2:6" x14ac:dyDescent="0.2">
      <c r="B6371" s="9" t="s">
        <v>319</v>
      </c>
      <c r="C6371" s="15" t="s">
        <v>320</v>
      </c>
      <c r="D6371" s="12" t="str">
        <f>"1010-0652"</f>
        <v>1010-0652</v>
      </c>
      <c r="E6371" s="5">
        <v>0.89700000000000002</v>
      </c>
      <c r="F6371" s="5">
        <v>8.3000000000000004E-2</v>
      </c>
    </row>
    <row r="6372" spans="2:6" x14ac:dyDescent="0.2">
      <c r="B6372" s="9" t="s">
        <v>321</v>
      </c>
      <c r="C6372" s="15" t="s">
        <v>322</v>
      </c>
      <c r="D6372" s="12" t="str">
        <f>"1661-4747"</f>
        <v>1661-4747</v>
      </c>
      <c r="E6372" s="5">
        <v>0.28599999999999998</v>
      </c>
      <c r="F6372" s="5">
        <v>1.4999999999999999E-2</v>
      </c>
    </row>
    <row r="6373" spans="2:6" x14ac:dyDescent="0.2">
      <c r="B6373" s="9" t="s">
        <v>323</v>
      </c>
      <c r="C6373" s="15" t="s">
        <v>324</v>
      </c>
      <c r="D6373" s="12" t="str">
        <f>"2190-8370"</f>
        <v>2190-8370</v>
      </c>
      <c r="E6373" s="5">
        <v>2.633</v>
      </c>
      <c r="F6373" s="5">
        <v>0.61899999999999999</v>
      </c>
    </row>
    <row r="6374" spans="2:6" x14ac:dyDescent="0.2">
      <c r="B6374" s="9" t="s">
        <v>7096</v>
      </c>
      <c r="C6374" s="15" t="s">
        <v>2992</v>
      </c>
      <c r="D6374" s="12" t="str">
        <f>"1438-3608"</f>
        <v>1438-3608</v>
      </c>
      <c r="E6374" s="5">
        <v>0.79100000000000004</v>
      </c>
      <c r="F6374" s="5">
        <v>0.76900000000000002</v>
      </c>
    </row>
    <row r="6375" spans="2:6" x14ac:dyDescent="0.2">
      <c r="B6375" s="9" t="s">
        <v>7097</v>
      </c>
      <c r="C6375" s="15" t="s">
        <v>2993</v>
      </c>
      <c r="D6375" s="12" t="str">
        <f>"0340-1855"</f>
        <v>0340-1855</v>
      </c>
      <c r="E6375" s="5">
        <v>1.3720000000000001</v>
      </c>
      <c r="F6375" s="5">
        <v>8.7999999999999995E-2</v>
      </c>
    </row>
    <row r="6376" spans="2:6" x14ac:dyDescent="0.2">
      <c r="B6376" s="9" t="s">
        <v>12309</v>
      </c>
      <c r="C6376" s="15" t="s">
        <v>12310</v>
      </c>
      <c r="D6376" s="12" t="str">
        <f>"0932-8114"</f>
        <v>0932-8114</v>
      </c>
      <c r="E6376" s="5">
        <v>1.8280000000000001</v>
      </c>
      <c r="F6376" s="5">
        <v>0.44</v>
      </c>
    </row>
    <row r="6377" spans="2:6" x14ac:dyDescent="0.2">
      <c r="B6377" s="9" t="s">
        <v>12311</v>
      </c>
      <c r="C6377" s="15" t="s">
        <v>12312</v>
      </c>
      <c r="D6377" s="12" t="str">
        <f>"1612-5010"</f>
        <v>1612-5010</v>
      </c>
      <c r="E6377" s="5">
        <v>1.1359999999999999</v>
      </c>
      <c r="F6377" s="5">
        <v>7.1999999999999995E-2</v>
      </c>
    </row>
    <row r="6378" spans="2:6" x14ac:dyDescent="0.2">
      <c r="B6378" s="9" t="s">
        <v>7103</v>
      </c>
      <c r="C6378" s="15" t="s">
        <v>7103</v>
      </c>
      <c r="D6378" s="12" t="str">
        <f>"0967-1994"</f>
        <v>0967-1994</v>
      </c>
      <c r="E6378" s="5">
        <v>1.4419999999999999</v>
      </c>
      <c r="F6378" s="5">
        <v>0.122</v>
      </c>
    </row>
  </sheetData>
  <autoFilter ref="A4:F6378"/>
  <phoneticPr fontId="2" type="noConversion"/>
  <pageMargins left="0.78740157480314965" right="0.78740157480314965" top="0.98425196850393704" bottom="0.98425196850393704" header="0.51181102362204722" footer="0.51181102362204722"/>
  <pageSetup paperSize="9" scale="63" fitToHeight="1000" orientation="portrait" r:id="rId1"/>
  <headerFooter alignWithMargins="0">
    <oddFooter>&amp;L&amp;8&amp;P (&amp;N)&amp;C&amp;8&amp;F&amp;R&amp;8&amp;D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Tabelle1!Journalindex</vt:lpstr>
      <vt:lpstr>Tabelle1!Print_Area</vt:lpstr>
      <vt:lpstr>Tabelle1!Print_Titles</vt:lpstr>
    </vt:vector>
  </TitlesOfParts>
  <Company>Universität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Matthäus</dc:creator>
  <cp:lastModifiedBy>Matthäus, Dierk (MEDDEK)</cp:lastModifiedBy>
  <cp:lastPrinted>2007-08-29T12:38:05Z</cp:lastPrinted>
  <dcterms:created xsi:type="dcterms:W3CDTF">2007-08-28T16:09:38Z</dcterms:created>
  <dcterms:modified xsi:type="dcterms:W3CDTF">2021-08-18T15:24:04Z</dcterms:modified>
</cp:coreProperties>
</file>